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40" windowWidth="15135" windowHeight="8880" tabRatio="711" firstSheet="5" activeTab="5"/>
  </bookViews>
  <sheets>
    <sheet name="THKP" sheetId="1" state="hidden" r:id="rId1"/>
    <sheet name="CPXD" sheetId="2" state="hidden" r:id="rId2"/>
    <sheet name="Sheet3" sheetId="3" state="hidden" r:id="rId3"/>
    <sheet name="dinhmuc he so" sheetId="4" state="hidden" r:id="rId4"/>
    <sheet name="Sheet1" sheetId="5" state="hidden" r:id="rId5"/>
    <sheet name="TM IN" sheetId="6" r:id="rId6"/>
    <sheet name="Sheet2" sheetId="7" state="hidden" r:id="rId7"/>
    <sheet name="TBI" sheetId="8" r:id="rId8"/>
    <sheet name="dpp" sheetId="9" state="hidden" r:id="rId9"/>
    <sheet name="GXD" sheetId="10" state="hidden" r:id="rId10"/>
    <sheet name="nội suy" sheetId="11" state="hidden" r:id="rId11"/>
    <sheet name="bảng nội suy QD79" sheetId="12" state="hidden" r:id="rId12"/>
    <sheet name="hệ số nghiên cứu khả thi" sheetId="13" state="hidden" r:id="rId13"/>
    <sheet name="GXD1" sheetId="14" state="hidden" r:id="rId14"/>
    <sheet name="Sheet7" sheetId="15" state="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Order1" hidden="1">255</definedName>
    <definedName name="_Order2" hidden="1">255</definedName>
    <definedName name="_xlfn.IFERROR" hidden="1">#NAME?</definedName>
    <definedName name="a129" localSheetId="5" hidden="1">{"Offgrid",#N/A,FALSE,"OFFGRID";"Region",#N/A,FALSE,"REGION";"Offgrid -2",#N/A,FALSE,"OFFGRID";"WTP",#N/A,FALSE,"WTP";"WTP -2",#N/A,FALSE,"WTP";"Project",#N/A,FALSE,"PROJECT";"Summary -2",#N/A,FALSE,"SUMMARY"}</definedName>
    <definedName name="a129" hidden="1">{"Offgrid",#N/A,FALSE,"OFFGRID";"Region",#N/A,FALSE,"REGION";"Offgrid -2",#N/A,FALSE,"OFFGRID";"WTP",#N/A,FALSE,"WTP";"WTP -2",#N/A,FALSE,"WTP";"Project",#N/A,FALSE,"PROJECT";"Summary -2",#N/A,FALSE,"SUMMARY"}</definedName>
    <definedName name="a129_xoa" localSheetId="5"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5"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 localSheetId="5" hidden="1">{"Offgrid",#N/A,FALSE,"OFFGRID";"Region",#N/A,FALSE,"REGION";"Offgrid -2",#N/A,FALSE,"OFFGRID";"WTP",#N/A,FALSE,"WTP";"WTP -2",#N/A,FALSE,"WTP";"Project",#N/A,FALSE,"PROJECT";"Summary -2",#N/A,FALSE,"SUMMARY"}</definedName>
    <definedName name="a130" hidden="1">{"Offgrid",#N/A,FALSE,"OFFGRID";"Region",#N/A,FALSE,"REGION";"Offgrid -2",#N/A,FALSE,"OFFGRID";"WTP",#N/A,FALSE,"WTP";"WTP -2",#N/A,FALSE,"WTP";"Project",#N/A,FALSE,"PROJECT";"Summary -2",#N/A,FALSE,"SUMMARY"}</definedName>
    <definedName name="a130_xoa" localSheetId="5"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5"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AAAAAAAAAAAA">'[8]Sheet1'!$I$11:$I$39</definedName>
    <definedName name="b.cpvc_OK">'[4]B.Tinh CPVC'!$B:$Z</definedName>
    <definedName name="B_Cuocvc">'[4]B4. Bang CUOCVC QD 29-2006'!$B:$H</definedName>
    <definedName name="Bang_chon_duong">'[4]B. Chon cu ly'!$B$6:$I$13</definedName>
    <definedName name="bang1">'[4]Tong hop vat tu'!$B:$E</definedName>
    <definedName name="bang2">'[4]Phan tich ca may'!$D$7:$D$1713</definedName>
    <definedName name="bcktktbtg">'[4]Config'!$CA$63</definedName>
    <definedName name="bcktktx">'[4]Config'!$CA$58:$CA$62</definedName>
    <definedName name="bcktkty1">'[4]Config'!$CB$58:$CB$62</definedName>
    <definedName name="bcktkty2">'[4]Config'!$CC$58:$CC$62</definedName>
    <definedName name="bcktkty3">'[4]Config'!$CD$58:$CD$62</definedName>
    <definedName name="bcktkty4">'[4]Config'!$CE$58:$CE$62</definedName>
    <definedName name="bcktkty5">'[4]Config'!$CF$58:$CF$62</definedName>
    <definedName name="BTK">'[4]Config'!$CI$3</definedName>
    <definedName name="CachtinhCN1">'[4]Config'!$CW$103</definedName>
    <definedName name="CachtinhCN2">'[4]Config'!$DN$103</definedName>
    <definedName name="CachtinhCPLBCKTKT">'[4]Config'!$CI$60</definedName>
    <definedName name="CachtinhCPLDADT">'[4]Config'!$CI$47</definedName>
    <definedName name="CachtinhCPTKKT">'[4]Config'!$CJ$66</definedName>
    <definedName name="CachtinhCPTKTC">'[4]Config'!$CJ$67</definedName>
    <definedName name="CachtinhCPTKHTKT1">'[4]Config'!$CW$170</definedName>
    <definedName name="CachtinhCPTKHTKT2">'[4]Config'!$DN$170</definedName>
    <definedName name="CachtinhCPTTTKBVTC">'[4]Config'!$CK$216</definedName>
    <definedName name="CachtinhCPTTTKKT">'[4]Config'!$CK$215</definedName>
    <definedName name="CCT">'[4]Config'!$CI$2</definedName>
    <definedName name="CLVC3">0.1</definedName>
    <definedName name="CN1btg">'[4]Config'!$CP$105</definedName>
    <definedName name="CN1x">'[4]Config'!$CP$96:$CP$104</definedName>
    <definedName name="CN1y1">'[4]Config'!$CR$96:$CR$104</definedName>
    <definedName name="CN1y2">'[4]Config'!$CS$96:$CS$104</definedName>
    <definedName name="CN1y3">'[4]Config'!$CT$96:$CT$104</definedName>
    <definedName name="CN2btg">'[4]Config'!$CY$107</definedName>
    <definedName name="CN2x">'[4]Config'!$CY$96:$CY$106</definedName>
    <definedName name="CN2y1">'[4]Config'!$DA$96:$DA$106</definedName>
    <definedName name="CN2y2">'[4]Config'!$DB$96:$DB$106</definedName>
    <definedName name="CN2y3">'[4]Config'!$DC$96:$DC$106</definedName>
    <definedName name="CN2y4">'[4]Config'!$DD$96:$DD$106</definedName>
    <definedName name="CN2y5">'[4]Config'!$DE$96:$DE$106</definedName>
    <definedName name="CP_HMC">#REF!</definedName>
    <definedName name="CPDGHSMTTB">'[4]Config'!$CI$278</definedName>
    <definedName name="CPDGHSMTXD">'[4]Config'!$CI$258</definedName>
    <definedName name="CPGSLDTB">'[4]Config'!$CG$322</definedName>
    <definedName name="CPGSTCXD">'[4]Config'!$CG$301</definedName>
    <definedName name="CPKTVDT">'[4]Config'!$CC$369</definedName>
    <definedName name="CPLBCKTKT">'[4]Config'!$CJ$60</definedName>
    <definedName name="CPLHSMTTB">'[4]Config'!$CI$277</definedName>
    <definedName name="CPLHSMTXD">'[4]Config'!$CI$257</definedName>
    <definedName name="CPQLDA">'[4]Config'!$CJ$47</definedName>
    <definedName name="CPTDKQDT">'[4]Config'!$CF$385</definedName>
    <definedName name="CPTKCN1">'[4]Config'!$CX$103</definedName>
    <definedName name="CPTKCN2">'[4]Config'!$DO$103</definedName>
    <definedName name="CPTKHTKT1">'[4]Config'!$CX$170</definedName>
    <definedName name="CPTKHTKT2">'[4]Config'!$DO$170</definedName>
    <definedName name="CPTTDT">'[4]Config'!$CG$238</definedName>
    <definedName name="CPTTQTVDT">'[4]Config'!$CB$369</definedName>
    <definedName name="CSGXD">#REF!</definedName>
    <definedName name="ChiphiHTKT2">'[4]Config'!$DM$170</definedName>
    <definedName name="ChiphiLapBCKTKT">'[4]Config'!$CH$60</definedName>
    <definedName name="ChiphiLapDADT">'[4]Config'!$CH$47</definedName>
    <definedName name="ChiphiTKCTCapngam">'[4]Config'!$CV$103</definedName>
    <definedName name="ChiphiTKCTCNkhac">'[4]Config'!$DM$103</definedName>
    <definedName name="ChiphiTKHTKT1">'[4]Config'!$CV$170</definedName>
    <definedName name="ChiphiThamtraTKBVTC">'[4]Config'!$CL$216</definedName>
    <definedName name="ChiphiThamtraTKKT">'[4]Config'!$CL$215</definedName>
    <definedName name="ChiphiThietkeKythuat">'[4]Config'!$CI$66</definedName>
    <definedName name="ChiphiThietkeToChucThiCong">'[4]Config'!$CI$67</definedName>
    <definedName name="Chon">'[4]B. Chon cu ly'!$B$6:$B$13</definedName>
    <definedName name="DMCPGSLDTB">'[4]Config'!$CF$322</definedName>
    <definedName name="DMCPGSTCXD">'[4]Config'!$CF$301</definedName>
    <definedName name="DMCPKT">'[4]Config'!$CC$368</definedName>
    <definedName name="DMCPLBCKTKT">'[4]Config'!$CF$64</definedName>
    <definedName name="DMCPLDA">'[4]Config'!$CF$51</definedName>
    <definedName name="DMCPQLDA">'[4]Config'!$CF$28</definedName>
    <definedName name="DMCPTKKT">'[4]Config'!$CK$66</definedName>
    <definedName name="DMCPTKTC">'[4]Config'!$CK$67</definedName>
    <definedName name="DMCPTTDT">'[4]Config'!$CF$238</definedName>
    <definedName name="DMCPTTQT">'[4]Config'!$CB$368</definedName>
    <definedName name="DMCPTTTKBVTC">'[4]Config'!$CI$216</definedName>
    <definedName name="DMCPTTTKKT">'[4]Config'!$CI$215</definedName>
    <definedName name="DMCPTTHQKT">'[4]Config'!$CF$198</definedName>
    <definedName name="DMCPHSMTMS">'[4]Config'!$CF$280</definedName>
    <definedName name="DMCPHSMTTC">'[4]Config'!$CF$259</definedName>
    <definedName name="DSNC">'[4]Chenh lech ca may'!$B$33:$J$233</definedName>
    <definedName name="DSNL">'[4]Chenh lech ca may'!$B$23:$J$25</definedName>
    <definedName name="dv_1">'[6]Hs_TMDT'!#REF!</definedName>
    <definedName name="dv_2">'[6]Hs_TMDT'!#REF!</definedName>
    <definedName name="G_BX_Cua">'[4]B.Tinh CPVC'!$Y$20</definedName>
    <definedName name="G_BX_Gachoplat">'[5]B.2 - Tinh CPVC'!$Y$16</definedName>
    <definedName name="G_BX_go">'[4]B.Tinh CPVC'!$Y$19</definedName>
    <definedName name="G_BX_Ngoi">'[4]B.Tinh CPVC'!$Y$21</definedName>
    <definedName name="G_BX_Thep">'[4]B.Tinh CPVC'!$Y$23</definedName>
    <definedName name="G_BX_XMVCS">'[4]B.Tinh CPVC'!$Y$25</definedName>
    <definedName name="G_VC_Cua">'[4]B.Tinh CPVC'!$Z$20</definedName>
    <definedName name="G_VC_gachoplat">'[5]B.2 - Tinh CPVC'!$Z$16</definedName>
    <definedName name="G_VC_go">'[4]B.Tinh CPVC'!$Z$19</definedName>
    <definedName name="G_VC_Ngoi">'[4]B.Tinh CPVC'!$Z$21</definedName>
    <definedName name="G_VC_Thep">'[4]B.Tinh CPVC'!$Z$23</definedName>
    <definedName name="G_VC_XMVCS">'[4]B.Tinh CPVC'!$Z$25</definedName>
    <definedName name="GDP">'[6]TMDT'!$D$32</definedName>
    <definedName name="GK">'[6]TMDT'!$D$24</definedName>
    <definedName name="GQLDA">'[6]TMDT'!$D$9</definedName>
    <definedName name="gstbbtg">'[4]Config'!$CA$321</definedName>
    <definedName name="gstbx">'[4]Config'!$CA$309:$CA$320</definedName>
    <definedName name="gstby1">'[4]Config'!$CB$309:$CB$320</definedName>
    <definedName name="gstby2">'[4]Config'!$CC$309:$CC$320</definedName>
    <definedName name="gstby3">'[4]Config'!$CD$309:$CD$320</definedName>
    <definedName name="gstby4">'[4]Config'!$CE$309:$CE$320</definedName>
    <definedName name="gstby5">'[4]Config'!$CF$309:$CF$320</definedName>
    <definedName name="gsxdbtg">'[4]Config'!$CA$300</definedName>
    <definedName name="gsxdx">'[4]Config'!$CA$288:$CA$299</definedName>
    <definedName name="gsxdy1">'[4]Config'!$CB$288:$CB$299</definedName>
    <definedName name="gsxdy2">'[4]Config'!$CC$288:$CC$299</definedName>
    <definedName name="gsxdy3">'[4]Config'!$CD$288:$CD$299</definedName>
    <definedName name="gsxdy4">'[4]Config'!$CE$288:$CE$299</definedName>
    <definedName name="gsxdy5">'[4]Config'!$CF$288:$CF$299</definedName>
    <definedName name="gt_1">'[6]Hs_TMDT'!#REF!</definedName>
    <definedName name="gt_2">'[6]Hs_TMDT'!#REF!</definedName>
    <definedName name="GTB" localSheetId="5">'TM IN'!$F$9</definedName>
    <definedName name="GTB">#REF!</definedName>
    <definedName name="GTCPTTTKBVTC">'[4]Config'!$CJ$216</definedName>
    <definedName name="GTCPTTTKKT">'[4]Config'!$CJ$215</definedName>
    <definedName name="GTV">'[6]TMDT'!$D$10</definedName>
    <definedName name="GXD" localSheetId="5">'TM IN'!$F$6</definedName>
    <definedName name="GXD">#REF!</definedName>
    <definedName name="GIATB">'[4]Chenh lech vat tu'!$B:$G</definedName>
    <definedName name="h" localSheetId="5" hidden="1">{"'Sheet1'!$L$16"}</definedName>
    <definedName name="h" hidden="1">{"'Sheet1'!$L$16"}</definedName>
    <definedName name="h_xoa" localSheetId="5" hidden="1">{"'Sheet1'!$L$16"}</definedName>
    <definedName name="h_xoa" hidden="1">{"'Sheet1'!$L$16"}</definedName>
    <definedName name="h_xoa2" localSheetId="5" hidden="1">{"'Sheet1'!$L$16"}</definedName>
    <definedName name="h_xoa2" hidden="1">{"'Sheet1'!$L$16"}</definedName>
    <definedName name="Heä_soá_laép_xaø_H">1.7</definedName>
    <definedName name="hs_Vung">#N/A</definedName>
    <definedName name="HSCT3">0.1</definedName>
    <definedName name="HSDN">2.5</definedName>
    <definedName name="hsmtbtg">'[4]Config'!$CA$258</definedName>
    <definedName name="hsmttbbtg">'[4]Config'!$CA$279</definedName>
    <definedName name="hsmttbx">'[4]Config'!$CA$267:$CA$278</definedName>
    <definedName name="hsmttby1">'[4]Config'!$CB$267:$CB$278</definedName>
    <definedName name="hsmttby2">'[4]Config'!$CC$267:$CC$278</definedName>
    <definedName name="hsmttby3">'[4]Config'!$CD$267:$CD$278</definedName>
    <definedName name="hsmttby4">'[4]Config'!$CE$267:$CE$278</definedName>
    <definedName name="hsmttby5">'[4]Config'!$CF$267:$CF$278</definedName>
    <definedName name="hsmtx">'[4]Config'!$CA$246:$CA$257</definedName>
    <definedName name="hsmty1">'[4]Config'!$CB$246:$CB$257</definedName>
    <definedName name="hsmty2">'[4]Config'!$CC$246:$CC$257</definedName>
    <definedName name="hsmty3">'[4]Config'!$CD$246:$CD$257</definedName>
    <definedName name="hsmty4">'[4]Config'!$CE$246:$CE$257</definedName>
    <definedName name="hsmty5">'[4]Config'!$CF$246:$CF$257</definedName>
    <definedName name="HTKT1btg">'[4]Config'!$CP$172</definedName>
    <definedName name="HTKT1x">'[4]Config'!$CP$162:$CP$171</definedName>
    <definedName name="HTKT1y1">'[4]Config'!$CR$162:$CR$171</definedName>
    <definedName name="HTKT1y2">'[4]Config'!$CS$162:$CS$171</definedName>
    <definedName name="HTKT1y3">'[4]Config'!$CT$162:$CT$171</definedName>
    <definedName name="HTKT2btg">'[4]Config'!$DA$172</definedName>
    <definedName name="HTKT2x">'[4]Config'!$DA$162:$DA$171</definedName>
    <definedName name="HTKT2y1">'[4]Config'!$DC$162:$DC$171</definedName>
    <definedName name="HTKT2y2">'[4]Config'!$DD$162:$DD$171</definedName>
    <definedName name="HTKT2y3">'[4]Config'!$DE$162:$DE$171</definedName>
    <definedName name="HTML_CodePage" hidden="1">950</definedName>
    <definedName name="HTML_Control" localSheetId="5" hidden="1">{"'Sheet1'!$L$16"}</definedName>
    <definedName name="HTML_Control" hidden="1">{"'Sheet1'!$L$16"}</definedName>
    <definedName name="html_control_xoa2" localSheetId="5"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localSheetId="5" hidden="1">{"'Sheet1'!$L$16"}</definedName>
    <definedName name="huy" hidden="1">{"'Sheet1'!$L$16"}</definedName>
    <definedName name="huy_xoa" localSheetId="5" hidden="1">{"'Sheet1'!$L$16"}</definedName>
    <definedName name="huy_xoa" hidden="1">{"'Sheet1'!$L$16"}</definedName>
    <definedName name="huy_xoa2" localSheetId="5" hidden="1">{"'Sheet1'!$L$16"}</definedName>
    <definedName name="huy_xoa2" hidden="1">{"'Sheet1'!$L$16"}</definedName>
    <definedName name="i_CPC">'[7]Config'!$E$158</definedName>
    <definedName name="k" localSheetId="5" hidden="1">{"Offgrid",#N/A,FALSE,"OFFGRID";"Region",#N/A,FALSE,"REGION";"Offgrid -2",#N/A,FALSE,"OFFGRID";"WTP",#N/A,FALSE,"WTP";"WTP -2",#N/A,FALSE,"WTP";"Project",#N/A,FALSE,"PROJECT";"Summary -2",#N/A,FALSE,"SUMMARY"}</definedName>
    <definedName name="k" hidden="1">{"Offgrid",#N/A,FALSE,"OFFGRID";"Region",#N/A,FALSE,"REGION";"Offgrid -2",#N/A,FALSE,"OFFGRID";"WTP",#N/A,FALSE,"WTP";"WTP -2",#N/A,FALSE,"WTP";"Project",#N/A,FALSE,"PROJECT";"Summary -2",#N/A,FALSE,"SUMMARY"}</definedName>
    <definedName name="k_xoa" localSheetId="5"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5"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TVDT">'[4]Config'!$CC$357:$CC$366</definedName>
    <definedName name="LCT">'[4]Config'!$CI$1</definedName>
    <definedName name="ldabtg">'[4]Config'!$CA$50</definedName>
    <definedName name="ldax">'[4]Config'!$CA$36:$CA$49</definedName>
    <definedName name="lday1">'[4]Config'!$CB$36:$CB$49</definedName>
    <definedName name="lday2">'[4]Config'!$CC$36:$CC$49</definedName>
    <definedName name="lday3">'[4]Config'!$CD$36:$CD$49</definedName>
    <definedName name="lday4">'[4]Config'!$CE$36:$CE$49</definedName>
    <definedName name="lday5">'[4]Config'!$CF$36:$CF$49</definedName>
    <definedName name="NhienlieuNL">'[4]Chenh lech ca may'!$B$4:$I$7</definedName>
    <definedName name="_xlnm.Print_Area" localSheetId="8">'dpp'!$A$1:$F$72</definedName>
    <definedName name="_xlnm.Print_Area" localSheetId="9">'GXD'!$A$1:$E$22</definedName>
    <definedName name="_xlnm.Print_Area" localSheetId="13">'GXD1'!$A$1:$E$14</definedName>
    <definedName name="_xlnm.Print_Area" localSheetId="5">'TM IN'!$A$1:$H$62</definedName>
    <definedName name="_xlnm.Print_Titles" localSheetId="5">'TM IN'!$5:$5</definedName>
    <definedName name="_xlnm.Print_Titles">#N/A</definedName>
    <definedName name="QD_957">'[6]Hs_TMDT'!#REF!</definedName>
    <definedName name="qldabtg">'[4]Config'!$CA$27</definedName>
    <definedName name="qldax">'[4]Config'!$CA$13:$CA$26</definedName>
    <definedName name="qlday1">'[4]Config'!$CB$13:$CB$26</definedName>
    <definedName name="qlday2">'[4]Config'!$CC$13:$CC$26</definedName>
    <definedName name="qlday3">'[4]Config'!$CD$13:$CD$26</definedName>
    <definedName name="qlday4">'[4]Config'!$CE$13:$CE$26</definedName>
    <definedName name="qlday5">'[4]Config'!$CF$13:$CF$26</definedName>
    <definedName name="TaxTV">10%</definedName>
    <definedName name="TaxXL">5%</definedName>
    <definedName name="tb">'[4]Config'!$CA$2</definedName>
    <definedName name="Ten_CT">'[4]Bia du toan'!$G$12</definedName>
    <definedName name="Ten_HM">'[4]Bia du toan'!$G$13</definedName>
    <definedName name="tkcn2btg">'[4]Config'!$CH$109</definedName>
    <definedName name="tkcn2x">'[4]Config'!$CH$96:$CH$108</definedName>
    <definedName name="tkcn2y1">'[4]Config'!$CI$96:$CI$108</definedName>
    <definedName name="tkcn2y2">'[4]Config'!$CJ$96:$CJ$108</definedName>
    <definedName name="tkcn2y3">'[4]Config'!$CK$96:$CK$108</definedName>
    <definedName name="tkcn2y4">'[4]Config'!$CL$96:$CL$108</definedName>
    <definedName name="tkcn2y5">'[4]Config'!$CM$96:$CM$108</definedName>
    <definedName name="tkcn3btg">'[4]Config'!$CA$109</definedName>
    <definedName name="tkcn3x">'[4]Config'!$CA$96:$CA$108</definedName>
    <definedName name="tkcn3y1">'[4]Config'!$CB$96:$CB$108</definedName>
    <definedName name="tkcn3y2">'[4]Config'!$CC$96:$CC$108</definedName>
    <definedName name="tkcn3y3">'[4]Config'!$CD$96:$CD$108</definedName>
    <definedName name="tkcn3y4">'[4]Config'!$CE$96:$CE$108</definedName>
    <definedName name="tkcn3y5">'[4]Config'!$CF$96:$CF$108</definedName>
    <definedName name="tkdd2btg">'[4]Config'!$CH$87</definedName>
    <definedName name="tkdd2x">'[4]Config'!$CH$74:$CH$86</definedName>
    <definedName name="tkdd2y1">'[4]Config'!$CI$74:$CI$86</definedName>
    <definedName name="tkdd2y2">'[4]Config'!$CJ$74:$CJ$86</definedName>
    <definedName name="tkdd2y3">'[4]Config'!$CK$74:$CK$86</definedName>
    <definedName name="tkdd2y4">'[4]Config'!$CL$74:$CL$86</definedName>
    <definedName name="tkdd2y5">'[4]Config'!$CM$74:$CM$86</definedName>
    <definedName name="tkdd3btg">'[4]Config'!$CA$87</definedName>
    <definedName name="tkdd3x">'[4]Config'!$CA$74:$CA$86</definedName>
    <definedName name="tkdd3y1">'[4]Config'!$CB$74:$CB$86</definedName>
    <definedName name="tkdd3y2">'[4]Config'!$CC$74:$CC$86</definedName>
    <definedName name="tkdd3y3">'[4]Config'!$CD$74:$CD$86</definedName>
    <definedName name="tkdd3y4">'[4]Config'!$CE$74:$CE$86</definedName>
    <definedName name="tkdd3y5">'[4]Config'!$CF$74:$CF$86</definedName>
    <definedName name="tkgt2btg">'[4]Config'!$CH$131</definedName>
    <definedName name="tkgt2x">'[4]Config'!$CH$118:$CH$130</definedName>
    <definedName name="tkgt2y1">'[4]Config'!$CI$118:$CI$130</definedName>
    <definedName name="tkgt2y2">'[4]Config'!$CJ$118:$CJ$130</definedName>
    <definedName name="tkgt2y3">'[4]Config'!$CK$118:$CK$130</definedName>
    <definedName name="tkgt2y4">'[4]Config'!$CL$118:$CL$130</definedName>
    <definedName name="tkgt2y5">'[4]Config'!$CM$118:$CM$130</definedName>
    <definedName name="tkgt3btg">'[4]Config'!$CA$131</definedName>
    <definedName name="tkgt3x">'[4]Config'!$CA$118:$CA$130</definedName>
    <definedName name="tkgt3y1">'[4]Config'!$CB$118:$CB$130</definedName>
    <definedName name="tkgt3y2">'[4]Config'!$CC$118:$CC$130</definedName>
    <definedName name="tkgt3y3">'[4]Config'!$CD$118:$CD$130</definedName>
    <definedName name="tkgt3y4">'[4]Config'!$CE$118:$CE$130</definedName>
    <definedName name="tkgt3y5">'[4]Config'!$CF$118:$CF$130</definedName>
    <definedName name="tktl2btg">'[4]Config'!$CH$153</definedName>
    <definedName name="tktl2x">'[4]Config'!$CH$140:$CH$152</definedName>
    <definedName name="tktl2y1">'[4]Config'!$CI$140:$CI$152</definedName>
    <definedName name="tktl2y2">'[4]Config'!$CJ$140:$CJ$152</definedName>
    <definedName name="tktl2y3">'[4]Config'!$CK$140:$CK$152</definedName>
    <definedName name="tktl2y4">'[4]Config'!$CL$140:$CL$152</definedName>
    <definedName name="tktl2y5">'[4]Config'!$CM$140:$CM$152</definedName>
    <definedName name="tktl3btg">'[4]Config'!$CA$153</definedName>
    <definedName name="tktl3x">'[4]Config'!$CA$140:$CA$152</definedName>
    <definedName name="tktl3y1">'[4]Config'!$CB$140:$CB$152</definedName>
    <definedName name="tktl3y2">'[4]Config'!$CC$140:$CC$152</definedName>
    <definedName name="tktl3y3">'[4]Config'!$CD$140:$CD$152</definedName>
    <definedName name="tktl3y4">'[4]Config'!$CE$140:$CE$152</definedName>
    <definedName name="tktl3y5">'[4]Config'!$CF$140:$CF$152</definedName>
    <definedName name="tkhtkt2btg">'[4]Config'!$CH$175</definedName>
    <definedName name="tkhtkt2x">'[4]Config'!$CH$162:$CH$174</definedName>
    <definedName name="tkhtkt2y1">'[4]Config'!$CI$162:$CI$174</definedName>
    <definedName name="tkhtkt2y2">'[4]Config'!$CJ$162:$CJ$174</definedName>
    <definedName name="tkhtkt2y3">'[4]Config'!$CK$162:$CK$174</definedName>
    <definedName name="tkhtkt2y4">'[4]Config'!$CL$162:$CL$174</definedName>
    <definedName name="tkhtkt2y5">'[4]Config'!$CM$162:$CM$174</definedName>
    <definedName name="tkhtkt3btg">'[4]Config'!$CA$175</definedName>
    <definedName name="tkhtkt3x">'[4]Config'!$CA$162:$CA$174</definedName>
    <definedName name="tkhtkt3y1">'[4]Config'!$CB$162:$CB$174</definedName>
    <definedName name="tkhtkt3y2">'[4]Config'!$CC$162:$CC$174</definedName>
    <definedName name="tkhtkt3y3">'[4]Config'!$CD$162:$CD$174</definedName>
    <definedName name="tkhtkt3y4">'[4]Config'!$CE$162:$CE$174</definedName>
    <definedName name="tkhtkt3y5">'[4]Config'!$CF$162:$CF$174</definedName>
    <definedName name="TLCNLX">'[4]TLg CN&amp;Laixe'!$A$12:$H$57</definedName>
    <definedName name="TLCNLX2">'[4]TLg CN&amp;Laixe (2)'!$A$12:$H$57</definedName>
    <definedName name="TLLT">'[4]TLg Laitau'!$A$21:$H$329</definedName>
    <definedName name="TLLT2">'[4]TLg Laitau (2)'!$A$21:$H$329</definedName>
    <definedName name="TMDT" localSheetId="5">'TM IN'!$H$50</definedName>
    <definedName name="TMDT">#REF!</definedName>
    <definedName name="TTPDQTVDT">'[4]Config'!$CB$357:$CB$366</definedName>
    <definedName name="TTQTVDTbtg">'[4]Config'!$CA$367</definedName>
    <definedName name="TTQTVDTx">'[4]Config'!$CA$357:$CA$366</definedName>
    <definedName name="Ttradtbtg">'[4]Config'!$CA$237</definedName>
    <definedName name="Ttradtx">'[4]Config'!$CA$225:$CA$236</definedName>
    <definedName name="Ttradty1">'[4]Config'!$CB$225:$CB$236</definedName>
    <definedName name="Ttradty2">'[4]Config'!$CC$225:$CC$236</definedName>
    <definedName name="Ttradty3">'[4]Config'!$CD$225:$CD$236</definedName>
    <definedName name="Ttradty4">'[4]Config'!$CE$225:$CE$236</definedName>
    <definedName name="Ttradty5">'[4]Config'!$CF$225:$CF$236</definedName>
    <definedName name="Ttrahqktbtg">'[4]Config'!$CA$197</definedName>
    <definedName name="Ttrahqktx">'[4]Config'!$CA$183:$CA$196</definedName>
    <definedName name="Ttrahqkty1">'[4]Config'!$CB$183:$CB$196</definedName>
    <definedName name="Ttrahqkty2">'[4]Config'!$CC$183:$CC$196</definedName>
    <definedName name="Ttrahqkty3">'[4]Config'!$CD$183:$CD$196</definedName>
    <definedName name="Ttrahqkty4">'[4]Config'!$CE$183:$CE$196</definedName>
    <definedName name="Ttrahqkty5">'[4]Config'!$CF$183:$CF$196</definedName>
    <definedName name="Ttratkbtg">'[4]Config'!$CA$217</definedName>
    <definedName name="Ttratkx">'[4]Config'!$CA$205:$CA$216</definedName>
    <definedName name="Ttratky1">'[4]Config'!$CB$205:$CB$216</definedName>
    <definedName name="Ttratky2">'[4]Config'!$CC$205:$CC$216</definedName>
    <definedName name="Ttratky3">'[4]Config'!$CD$205:$CD$216</definedName>
    <definedName name="Ttratky4">'[4]Config'!$CE$205:$CE$216</definedName>
    <definedName name="Ttratky5">'[4]Config'!$CF$205:$CF$216</definedName>
    <definedName name="wrn.chi._.tiÆt." localSheetId="5" hidden="1">{#N/A,#N/A,FALSE,"Chi ti?t"}</definedName>
    <definedName name="wrn.chi._.tiÆt." hidden="1">{#N/A,#N/A,FALSE,"Chi ti?t"}</definedName>
    <definedName name="wrn.re_xoa2" localSheetId="5"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_xoa2" localSheetId="5" hidden="1">{#N/A,#N/A,FALSE,"Chi ti?t"}</definedName>
    <definedName name="wrn_xoa2" hidden="1">{#N/A,#N/A,FALSE,"Chi ti?t"}</definedName>
    <definedName name="wrnf.report" localSheetId="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5"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xd">'[4]Config'!$CA$1</definedName>
    <definedName name="XLTB">'[4]Config'!$CA$3</definedName>
    <definedName name="xoa1" localSheetId="5" hidden="1">{"'Sheet1'!$L$16"}</definedName>
    <definedName name="xoa1" hidden="1">{"'Sheet1'!$L$16"}</definedName>
    <definedName name="xoa2" localSheetId="5" hidden="1">{#N/A,#N/A,FALSE,"Chi ti?t"}</definedName>
    <definedName name="xoa2" hidden="1">{#N/A,#N/A,FALSE,"Chi ti?t"}</definedName>
    <definedName name="xoa3" localSheetId="5"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5"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s>
  <calcPr fullCalcOnLoad="1"/>
</workbook>
</file>

<file path=xl/comments12.xml><?xml version="1.0" encoding="utf-8"?>
<comments xmlns="http://schemas.openxmlformats.org/spreadsheetml/2006/main">
  <authors>
    <author>Tai</author>
  </authors>
  <commentList>
    <comment ref="A10" authorId="0">
      <text>
        <r>
          <rPr>
            <sz val="9"/>
            <rFont val="Tahoma"/>
            <family val="2"/>
          </rPr>
          <t xml:space="preserve">Ô đặc biệt, dùng để xác định bảng
</t>
        </r>
      </text>
    </comment>
    <comment ref="N10" authorId="0">
      <text>
        <r>
          <rPr>
            <sz val="9"/>
            <rFont val="Tahoma"/>
            <family val="2"/>
          </rPr>
          <t xml:space="preserve">Ô đặc biệt, dùng để xác định bảng
</t>
        </r>
      </text>
    </comment>
    <comment ref="A18" authorId="0">
      <text>
        <r>
          <rPr>
            <sz val="9"/>
            <rFont val="Tahoma"/>
            <family val="2"/>
          </rPr>
          <t>Ô đặc biệt, dùng để xác định bảng</t>
        </r>
      </text>
    </comment>
    <comment ref="A22" authorId="0">
      <text>
        <r>
          <rPr>
            <sz val="9"/>
            <rFont val="Tahoma"/>
            <family val="2"/>
          </rPr>
          <t xml:space="preserve">Ô đặc biệt, dùng để xác định bảng
</t>
        </r>
      </text>
    </comment>
    <comment ref="N22" authorId="0">
      <text>
        <r>
          <rPr>
            <sz val="9"/>
            <rFont val="Tahoma"/>
            <family val="2"/>
          </rPr>
          <t xml:space="preserve">Ô đặc biệt, dùng để xác định bảng
</t>
        </r>
      </text>
    </comment>
    <comment ref="A30" authorId="0">
      <text>
        <r>
          <rPr>
            <sz val="9"/>
            <rFont val="Tahoma"/>
            <family val="2"/>
          </rPr>
          <t>Ô đặc biệt, dùng để xác định bảng</t>
        </r>
      </text>
    </comment>
    <comment ref="A34" authorId="0">
      <text>
        <r>
          <rPr>
            <sz val="9"/>
            <rFont val="Tahoma"/>
            <family val="2"/>
          </rPr>
          <t xml:space="preserve">Ô đặc biệt, dùng để xác định bảng
</t>
        </r>
      </text>
    </comment>
    <comment ref="N34" authorId="0">
      <text>
        <r>
          <rPr>
            <sz val="9"/>
            <rFont val="Tahoma"/>
            <family val="2"/>
          </rPr>
          <t xml:space="preserve">Ô đặc biệt, dùng để xác định bảng
</t>
        </r>
      </text>
    </comment>
    <comment ref="A42" authorId="0">
      <text>
        <r>
          <rPr>
            <sz val="9"/>
            <rFont val="Tahoma"/>
            <family val="2"/>
          </rPr>
          <t>Ô đặc biệt, dùng để xác định bảng</t>
        </r>
      </text>
    </comment>
    <comment ref="A46" authorId="0">
      <text>
        <r>
          <rPr>
            <sz val="9"/>
            <rFont val="Tahoma"/>
            <family val="2"/>
          </rPr>
          <t xml:space="preserve">Ô đặc biệt, dùng để xác định bảng
</t>
        </r>
      </text>
    </comment>
    <comment ref="F46" authorId="0">
      <text>
        <r>
          <rPr>
            <sz val="9"/>
            <rFont val="Tahoma"/>
            <family val="2"/>
          </rPr>
          <t xml:space="preserve">Ô đặc biệt, dùng để xác định bảng
</t>
        </r>
      </text>
    </comment>
    <comment ref="A54" authorId="0">
      <text>
        <r>
          <rPr>
            <sz val="9"/>
            <rFont val="Tahoma"/>
            <family val="2"/>
          </rPr>
          <t>Ô đặc biệt, dùng để xác định bảng</t>
        </r>
      </text>
    </comment>
    <comment ref="A58" authorId="0">
      <text>
        <r>
          <rPr>
            <sz val="9"/>
            <rFont val="Tahoma"/>
            <family val="2"/>
          </rPr>
          <t xml:space="preserve">Ô đặc biệt, dùng để xác định bảng
</t>
        </r>
      </text>
    </comment>
    <comment ref="M58" authorId="0">
      <text>
        <r>
          <rPr>
            <sz val="9"/>
            <rFont val="Tahoma"/>
            <family val="2"/>
          </rPr>
          <t xml:space="preserve">Ô đặc biệt, dùng để xác định bảng
</t>
        </r>
      </text>
    </comment>
    <comment ref="A126" authorId="0">
      <text>
        <r>
          <rPr>
            <sz val="9"/>
            <rFont val="Tahoma"/>
            <family val="2"/>
          </rPr>
          <t>Ô đặc biệt, dùng để xác định bảng</t>
        </r>
      </text>
    </comment>
    <comment ref="A130" authorId="0">
      <text>
        <r>
          <rPr>
            <sz val="9"/>
            <rFont val="Tahoma"/>
            <family val="2"/>
          </rPr>
          <t xml:space="preserve">Ô đặc biệt, dùng để xác định bảng
</t>
        </r>
      </text>
    </comment>
    <comment ref="N130" authorId="0">
      <text>
        <r>
          <rPr>
            <sz val="9"/>
            <rFont val="Tahoma"/>
            <family val="2"/>
          </rPr>
          <t xml:space="preserve">Ô đặc biệt, dùng để xác định bảng
</t>
        </r>
      </text>
    </comment>
    <comment ref="A138" authorId="0">
      <text>
        <r>
          <rPr>
            <sz val="9"/>
            <rFont val="Tahoma"/>
            <family val="2"/>
          </rPr>
          <t>Ô đặc biệt, dùng để xác định bảng</t>
        </r>
      </text>
    </comment>
    <comment ref="A142" authorId="0">
      <text>
        <r>
          <rPr>
            <sz val="9"/>
            <rFont val="Tahoma"/>
            <family val="2"/>
          </rPr>
          <t xml:space="preserve">Ô đặc biệt, dùng để xác định bảng
</t>
        </r>
      </text>
    </comment>
    <comment ref="N142" authorId="0">
      <text>
        <r>
          <rPr>
            <sz val="9"/>
            <rFont val="Tahoma"/>
            <family val="2"/>
          </rPr>
          <t xml:space="preserve">Ô đặc biệt, dùng để xác định bảng
</t>
        </r>
      </text>
    </comment>
    <comment ref="A150" authorId="0">
      <text>
        <r>
          <rPr>
            <sz val="9"/>
            <rFont val="Tahoma"/>
            <family val="2"/>
          </rPr>
          <t>Ô đặc biệt, dùng để xác định bảng</t>
        </r>
      </text>
    </comment>
    <comment ref="A154" authorId="0">
      <text>
        <r>
          <rPr>
            <sz val="9"/>
            <rFont val="Tahoma"/>
            <family val="2"/>
          </rPr>
          <t xml:space="preserve">Ô đặc biệt, dùng để xác định bảng
</t>
        </r>
      </text>
    </comment>
    <comment ref="M154" authorId="0">
      <text>
        <r>
          <rPr>
            <sz val="9"/>
            <rFont val="Tahoma"/>
            <family val="2"/>
          </rPr>
          <t xml:space="preserve">Ô đặc biệt, dùng để xác định bảng
</t>
        </r>
      </text>
    </comment>
    <comment ref="A162" authorId="0">
      <text>
        <r>
          <rPr>
            <sz val="9"/>
            <rFont val="Tahoma"/>
            <family val="2"/>
          </rPr>
          <t>Ô đặc biệt, dùng để xác định bảng</t>
        </r>
      </text>
    </comment>
    <comment ref="A166" authorId="0">
      <text>
        <r>
          <rPr>
            <sz val="9"/>
            <rFont val="Tahoma"/>
            <family val="2"/>
          </rPr>
          <t xml:space="preserve">Ô đặc biệt, dùng để xác định bảng
</t>
        </r>
      </text>
    </comment>
    <comment ref="M166" authorId="0">
      <text>
        <r>
          <rPr>
            <sz val="9"/>
            <rFont val="Tahoma"/>
            <family val="2"/>
          </rPr>
          <t xml:space="preserve">Ô đặc biệt, dùng để xác định bảng
</t>
        </r>
      </text>
    </comment>
    <comment ref="A174" authorId="0">
      <text>
        <r>
          <rPr>
            <sz val="9"/>
            <rFont val="Tahoma"/>
            <family val="2"/>
          </rPr>
          <t>Ô đặc biệt, dùng để xác định bảng</t>
        </r>
      </text>
    </comment>
    <comment ref="A178" authorId="0">
      <text>
        <r>
          <rPr>
            <sz val="9"/>
            <rFont val="Tahoma"/>
            <family val="2"/>
          </rPr>
          <t xml:space="preserve">Ô đặc biệt, dùng để xác định bảng
</t>
        </r>
      </text>
    </comment>
    <comment ref="J178" authorId="0">
      <text>
        <r>
          <rPr>
            <sz val="9"/>
            <rFont val="Tahoma"/>
            <family val="2"/>
          </rPr>
          <t xml:space="preserve">Ô đặc biệt, dùng để xác định bảng
</t>
        </r>
      </text>
    </comment>
    <comment ref="A186" authorId="0">
      <text>
        <r>
          <rPr>
            <sz val="9"/>
            <rFont val="Tahoma"/>
            <family val="2"/>
          </rPr>
          <t>Ô đặc biệt, dùng để xác định bảng</t>
        </r>
      </text>
    </comment>
    <comment ref="A190" authorId="0">
      <text>
        <r>
          <rPr>
            <sz val="9"/>
            <rFont val="Tahoma"/>
            <family val="2"/>
          </rPr>
          <t xml:space="preserve">Ô đặc biệt, dùng để xác định bảng
</t>
        </r>
      </text>
    </comment>
    <comment ref="J190" authorId="0">
      <text>
        <r>
          <rPr>
            <sz val="9"/>
            <rFont val="Tahoma"/>
            <family val="2"/>
          </rPr>
          <t xml:space="preserve">Ô đặc biệt, dùng để xác định bảng
</t>
        </r>
      </text>
    </comment>
    <comment ref="A198" authorId="0">
      <text>
        <r>
          <rPr>
            <sz val="9"/>
            <rFont val="Tahoma"/>
            <family val="2"/>
          </rPr>
          <t>Ô đặc biệt, dùng để xác định bảng</t>
        </r>
      </text>
    </comment>
    <comment ref="A202" authorId="0">
      <text>
        <r>
          <rPr>
            <sz val="9"/>
            <rFont val="Tahoma"/>
            <family val="2"/>
          </rPr>
          <t xml:space="preserve">Ô đặc biệt, dùng để xác định bảng
</t>
        </r>
      </text>
    </comment>
    <comment ref="M202" authorId="0">
      <text>
        <r>
          <rPr>
            <sz val="9"/>
            <rFont val="Tahoma"/>
            <family val="2"/>
          </rPr>
          <t xml:space="preserve">Ô đặc biệt, dùng để xác định bảng
</t>
        </r>
      </text>
    </comment>
    <comment ref="A210" authorId="0">
      <text>
        <r>
          <rPr>
            <sz val="9"/>
            <rFont val="Tahoma"/>
            <family val="2"/>
          </rPr>
          <t>Ô đặc biệt, dùng để xác định bảng</t>
        </r>
      </text>
    </comment>
    <comment ref="A214" authorId="0">
      <text>
        <r>
          <rPr>
            <sz val="9"/>
            <rFont val="Tahoma"/>
            <family val="2"/>
          </rPr>
          <t xml:space="preserve">Ô đặc biệt, dùng để xác định bảng
</t>
        </r>
      </text>
    </comment>
    <comment ref="M214" authorId="0">
      <text>
        <r>
          <rPr>
            <sz val="9"/>
            <rFont val="Tahoma"/>
            <family val="2"/>
          </rPr>
          <t xml:space="preserve">Ô đặc biệt, dùng để xác định bảng
</t>
        </r>
      </text>
    </comment>
    <comment ref="A222" authorId="0">
      <text>
        <r>
          <rPr>
            <sz val="9"/>
            <rFont val="Tahoma"/>
            <family val="2"/>
          </rPr>
          <t>Ô đặc biệt, dùng để xác định bảng</t>
        </r>
      </text>
    </comment>
  </commentList>
</comments>
</file>

<file path=xl/comments2.xml><?xml version="1.0" encoding="utf-8"?>
<comments xmlns="http://schemas.openxmlformats.org/spreadsheetml/2006/main">
  <authors>
    <author>A satisfied Microsoft Office user</author>
  </authors>
  <commentList>
    <comment ref="A1" authorId="0">
      <text>
        <r>
          <rPr>
            <sz val="8"/>
            <rFont val="Tahoma"/>
            <family val="2"/>
          </rPr>
          <t>Tong hop kinh phi</t>
        </r>
      </text>
    </comment>
  </commentList>
</comments>
</file>

<file path=xl/comments9.xml><?xml version="1.0" encoding="utf-8"?>
<comments xmlns="http://schemas.openxmlformats.org/spreadsheetml/2006/main">
  <authors>
    <author>Minh Cong</author>
  </authors>
  <commentList>
    <comment ref="F25" authorId="0">
      <text>
        <r>
          <rPr>
            <b/>
            <sz val="8"/>
            <rFont val="Tahoma"/>
            <family val="2"/>
          </rPr>
          <t>Minh Cong:</t>
        </r>
        <r>
          <rPr>
            <sz val="8"/>
            <rFont val="Tahoma"/>
            <family val="2"/>
          </rPr>
          <t xml:space="preserve">
1/Hệ số phát sinh: Kps=10%
2/Đối với công trình chỉ lập BCKTKT thì Kps=5%</t>
        </r>
      </text>
    </comment>
    <comment ref="F31" authorId="0">
      <text>
        <r>
          <rPr>
            <b/>
            <sz val="8"/>
            <rFont val="Tahoma"/>
            <family val="2"/>
          </rPr>
          <t>Minh Cong:</t>
        </r>
        <r>
          <rPr>
            <sz val="8"/>
            <rFont val="Tahoma"/>
            <family val="2"/>
          </rPr>
          <t xml:space="preserve">
Nhập tỷ lệ % cho vốn vay dự kiến (Thường công trình sử dụng vốn ngân sách nên bằng 0)</t>
        </r>
      </text>
    </comment>
    <comment ref="F33" authorId="0">
      <text>
        <r>
          <rPr>
            <b/>
            <sz val="8"/>
            <rFont val="Tahoma"/>
            <family val="2"/>
          </rPr>
          <t>Minh Cong:</t>
        </r>
        <r>
          <rPr>
            <sz val="8"/>
            <rFont val="Tahoma"/>
            <family val="2"/>
          </rPr>
          <t xml:space="preserve">
Nhập mức dự báo biến động vào đây. Nếu mức dự báo tăng nhập số dương, nếu giảm thì nhập số âm, nếu không dự báo được thì có thể để bằng 0</t>
        </r>
      </text>
    </comment>
    <comment ref="C38" authorId="0">
      <text>
        <r>
          <rPr>
            <b/>
            <sz val="8"/>
            <rFont val="Tahoma"/>
            <family val="2"/>
          </rPr>
          <t>Minh Cong:</t>
        </r>
        <r>
          <rPr>
            <sz val="8"/>
            <rFont val="Tahoma"/>
            <family val="2"/>
          </rPr>
          <t xml:space="preserve">
Hãy điền mức độ phân bổ vào đây (Nếu không xác định được có thể chia đều cho các năm)</t>
        </r>
      </text>
    </comment>
    <comment ref="D38" authorId="0">
      <text>
        <r>
          <rPr>
            <b/>
            <sz val="8"/>
            <rFont val="Tahoma"/>
            <family val="2"/>
          </rPr>
          <t>Minh Cong:</t>
        </r>
        <r>
          <rPr>
            <sz val="8"/>
            <rFont val="Tahoma"/>
            <family val="2"/>
          </rPr>
          <t xml:space="preserve">
Hãy điền mức độ phân bổ vào đây (Nếu không xác định được có thể chia đều cho các năm)</t>
        </r>
      </text>
    </comment>
    <comment ref="E38" authorId="0">
      <text>
        <r>
          <rPr>
            <b/>
            <sz val="8"/>
            <rFont val="Tahoma"/>
            <family val="2"/>
          </rPr>
          <t>Minh Cong:</t>
        </r>
        <r>
          <rPr>
            <sz val="8"/>
            <rFont val="Tahoma"/>
            <family val="2"/>
          </rPr>
          <t xml:space="preserve">
Hãy điền mức độ phân bổ vào đây (Nếu không xác định được có thể chia đều cho các năm)</t>
        </r>
      </text>
    </comment>
    <comment ref="F38" authorId="0">
      <text>
        <r>
          <rPr>
            <b/>
            <sz val="8"/>
            <rFont val="Tahoma"/>
            <family val="2"/>
          </rPr>
          <t>Minh Cong:</t>
        </r>
        <r>
          <rPr>
            <sz val="8"/>
            <rFont val="Tahoma"/>
            <family val="2"/>
          </rPr>
          <t xml:space="preserve">
Hãy điền mức độ phân bổ vào đây (Nếu không xác định được có thể chia đều cho các năm)</t>
        </r>
      </text>
    </comment>
    <comment ref="F43" authorId="0">
      <text>
        <r>
          <rPr>
            <b/>
            <sz val="8"/>
            <rFont val="Tahoma"/>
            <family val="2"/>
          </rPr>
          <t>Minh Cong:</t>
        </r>
        <r>
          <rPr>
            <sz val="8"/>
            <rFont val="Tahoma"/>
            <family val="2"/>
          </rPr>
          <t xml:space="preserve">
Hãy điền năm có Thông báo Chỉ số giá xây dựng gần năm thực hiện dự án nhất</t>
        </r>
      </text>
    </comment>
  </commentList>
</comments>
</file>

<file path=xl/sharedStrings.xml><?xml version="1.0" encoding="utf-8"?>
<sst xmlns="http://schemas.openxmlformats.org/spreadsheetml/2006/main" count="2447" uniqueCount="1407">
  <si>
    <t>TOÅNG DÖÏ TOAÙN XAÂY DÖÏNG COÂNG TRÌNH</t>
  </si>
  <si>
    <t>STT</t>
  </si>
  <si>
    <t>KHOAÛN MUÏC CHI PHÍ</t>
  </si>
  <si>
    <t>KYÙ HIEÄU</t>
  </si>
  <si>
    <t>CAÙCH TÍNH</t>
  </si>
  <si>
    <t>THUEÁ (VAT)</t>
  </si>
  <si>
    <r>
      <t>CP NHAØ TAÏM (G</t>
    </r>
    <r>
      <rPr>
        <b/>
        <vertAlign val="subscript"/>
        <sz val="10"/>
        <rFont val="VNI-Times"/>
        <family val="0"/>
      </rPr>
      <t>XDLT</t>
    </r>
    <r>
      <rPr>
        <b/>
        <sz val="10"/>
        <rFont val="VNI-Times"/>
        <family val="0"/>
      </rPr>
      <t>)</t>
    </r>
  </si>
  <si>
    <t>HS 957</t>
  </si>
  <si>
    <t>hs vuøng mieàn</t>
  </si>
  <si>
    <t>I</t>
  </si>
  <si>
    <t>CHI PHÍ XAÂY DÖÏNG</t>
  </si>
  <si>
    <r>
      <t>G</t>
    </r>
    <r>
      <rPr>
        <b/>
        <vertAlign val="subscript"/>
        <sz val="10"/>
        <rFont val="VNI-Times"/>
        <family val="0"/>
      </rPr>
      <t>XD</t>
    </r>
  </si>
  <si>
    <t>II</t>
  </si>
  <si>
    <t>CHI PHÍ THIEÁT BÒ</t>
  </si>
  <si>
    <r>
      <t>G</t>
    </r>
    <r>
      <rPr>
        <b/>
        <vertAlign val="subscript"/>
        <sz val="10"/>
        <rFont val="VNI-Times"/>
        <family val="0"/>
      </rPr>
      <t>TB</t>
    </r>
  </si>
  <si>
    <t>III</t>
  </si>
  <si>
    <t xml:space="preserve">CHI PHÍ QUAÛN LYÙ DÖÏ AÙN </t>
  </si>
  <si>
    <r>
      <t>G</t>
    </r>
    <r>
      <rPr>
        <b/>
        <vertAlign val="subscript"/>
        <sz val="10"/>
        <rFont val="VNI-Times"/>
        <family val="0"/>
      </rPr>
      <t>QLDA</t>
    </r>
  </si>
  <si>
    <t>IV</t>
  </si>
  <si>
    <t>CHI PHÍ TÖ VAÁN ÑAÀU TÖ XD</t>
  </si>
  <si>
    <r>
      <t>G</t>
    </r>
    <r>
      <rPr>
        <b/>
        <vertAlign val="subscript"/>
        <sz val="10"/>
        <rFont val="VNI-Times"/>
        <family val="0"/>
      </rPr>
      <t>TV</t>
    </r>
  </si>
  <si>
    <r>
      <t>T</t>
    </r>
    <r>
      <rPr>
        <vertAlign val="subscript"/>
        <sz val="10"/>
        <rFont val="VNI-Times"/>
        <family val="0"/>
      </rPr>
      <t>1</t>
    </r>
    <r>
      <rPr>
        <sz val="10"/>
        <rFont val="VNI-Times"/>
        <family val="0"/>
      </rPr>
      <t>+…T</t>
    </r>
    <r>
      <rPr>
        <vertAlign val="subscript"/>
        <sz val="10"/>
        <rFont val="VNI-Times"/>
        <family val="0"/>
      </rPr>
      <t>7</t>
    </r>
  </si>
  <si>
    <t xml:space="preserve">Chi phí laäp BC KTKT </t>
  </si>
  <si>
    <r>
      <t>T</t>
    </r>
    <r>
      <rPr>
        <vertAlign val="subscript"/>
        <sz val="10"/>
        <rFont val="VNI-Times"/>
        <family val="0"/>
      </rPr>
      <t>1</t>
    </r>
  </si>
  <si>
    <t>Chi phí thaåm tra Thieát keá</t>
  </si>
  <si>
    <r>
      <t>T</t>
    </r>
    <r>
      <rPr>
        <vertAlign val="subscript"/>
        <sz val="10"/>
        <rFont val="VNI-Times"/>
        <family val="0"/>
      </rPr>
      <t>2</t>
    </r>
  </si>
  <si>
    <t>Chi phí thaåm tra Döï toaùn</t>
  </si>
  <si>
    <r>
      <t>T</t>
    </r>
    <r>
      <rPr>
        <vertAlign val="subscript"/>
        <sz val="10"/>
        <rFont val="VNI-Times"/>
        <family val="0"/>
      </rPr>
      <t>3</t>
    </r>
  </si>
  <si>
    <t xml:space="preserve">Chi phí giaùm saùt thi coâng </t>
  </si>
  <si>
    <r>
      <t>T</t>
    </r>
    <r>
      <rPr>
        <vertAlign val="subscript"/>
        <sz val="10"/>
        <rFont val="VNI-Times"/>
        <family val="0"/>
      </rPr>
      <t>4</t>
    </r>
  </si>
  <si>
    <r>
      <t>T</t>
    </r>
    <r>
      <rPr>
        <vertAlign val="subscript"/>
        <sz val="10"/>
        <rFont val="VNI-Times"/>
        <family val="0"/>
      </rPr>
      <t>5</t>
    </r>
  </si>
  <si>
    <r>
      <t>T</t>
    </r>
    <r>
      <rPr>
        <vertAlign val="subscript"/>
        <sz val="10"/>
        <rFont val="VNI-Times"/>
        <family val="0"/>
      </rPr>
      <t>6</t>
    </r>
  </si>
  <si>
    <t>Chi phí kieåm ñònh chaát löôïng coâng trình</t>
  </si>
  <si>
    <r>
      <t>T</t>
    </r>
    <r>
      <rPr>
        <vertAlign val="subscript"/>
        <sz val="10"/>
        <rFont val="VNI-Times"/>
        <family val="0"/>
      </rPr>
      <t>7</t>
    </r>
  </si>
  <si>
    <r>
      <t>Taïm tính 35% T</t>
    </r>
    <r>
      <rPr>
        <vertAlign val="subscript"/>
        <sz val="10"/>
        <rFont val="VNI-Times"/>
        <family val="0"/>
      </rPr>
      <t>4</t>
    </r>
  </si>
  <si>
    <t>V</t>
  </si>
  <si>
    <t>CHI PHÍ KHAÙC</t>
  </si>
  <si>
    <r>
      <t>G</t>
    </r>
    <r>
      <rPr>
        <b/>
        <vertAlign val="subscript"/>
        <sz val="10"/>
        <rFont val="VNI-Times"/>
        <family val="0"/>
      </rPr>
      <t>K</t>
    </r>
  </si>
  <si>
    <t>Chi phí thaåm ñònh döï aùn ñaàu tö (möùc toái thieåu)</t>
  </si>
  <si>
    <r>
      <t>K</t>
    </r>
    <r>
      <rPr>
        <vertAlign val="subscript"/>
        <sz val="10"/>
        <rFont val="VNI-Times"/>
        <family val="0"/>
      </rPr>
      <t>1</t>
    </r>
  </si>
  <si>
    <t xml:space="preserve">Chi phí baûo hieåm coâng trình </t>
  </si>
  <si>
    <r>
      <t>K</t>
    </r>
    <r>
      <rPr>
        <vertAlign val="subscript"/>
        <sz val="10"/>
        <rFont val="VNI-Times"/>
        <family val="0"/>
      </rPr>
      <t>2</t>
    </r>
  </si>
  <si>
    <t xml:space="preserve">Chi phí thaåm tra vaø pheâ duyeät quyeát toaùn </t>
  </si>
  <si>
    <r>
      <t>K</t>
    </r>
    <r>
      <rPr>
        <vertAlign val="subscript"/>
        <sz val="10"/>
        <rFont val="VNI-Times"/>
        <family val="0"/>
      </rPr>
      <t>3</t>
    </r>
  </si>
  <si>
    <t xml:space="preserve">Chi phí kieåm toaùn </t>
  </si>
  <si>
    <r>
      <t>K</t>
    </r>
    <r>
      <rPr>
        <vertAlign val="subscript"/>
        <sz val="10"/>
        <rFont val="VNI-Times"/>
        <family val="0"/>
      </rPr>
      <t>4</t>
    </r>
  </si>
  <si>
    <t>VI</t>
  </si>
  <si>
    <t>CHI PHÍ DÖÏ PHOØNG</t>
  </si>
  <si>
    <r>
      <t>G</t>
    </r>
    <r>
      <rPr>
        <b/>
        <vertAlign val="subscript"/>
        <sz val="10"/>
        <rFont val="VNI-Times"/>
        <family val="0"/>
      </rPr>
      <t>DP</t>
    </r>
  </si>
  <si>
    <t>TOÅNG COÄNG</t>
  </si>
  <si>
    <r>
      <t>G</t>
    </r>
    <r>
      <rPr>
        <b/>
        <vertAlign val="subscript"/>
        <sz val="10"/>
        <rFont val="VNI-Times"/>
        <family val="0"/>
      </rPr>
      <t>XDCT</t>
    </r>
  </si>
  <si>
    <t>( B¶y tû n¨m tr¨m s¸u m­¬i ba triÖu b¶y tr¨m bèn m­¬i ngµn ®ång )</t>
  </si>
  <si>
    <t>CTY CP TÖ VAÁN THIEÁT KEÁ XAÂY DÖÏNG THUYØ DÖÔNG</t>
  </si>
  <si>
    <t>BAÛNG TOÅNG HÔÏP CHI PHÍ XAÂY DÖÏNG</t>
  </si>
  <si>
    <t>Khoaûn muïc chi phí</t>
  </si>
  <si>
    <t>Kyù hieäu</t>
  </si>
  <si>
    <r>
      <t>G</t>
    </r>
    <r>
      <rPr>
        <vertAlign val="subscript"/>
        <sz val="11"/>
        <rFont val="VNI-Times"/>
        <family val="0"/>
      </rPr>
      <t>1</t>
    </r>
  </si>
  <si>
    <r>
      <t>G</t>
    </r>
    <r>
      <rPr>
        <b/>
        <vertAlign val="subscript"/>
        <sz val="11"/>
        <rFont val="VNI-Times"/>
        <family val="0"/>
      </rPr>
      <t>XDCT</t>
    </r>
  </si>
  <si>
    <t>Ñôn vò</t>
  </si>
  <si>
    <t>m2</t>
  </si>
  <si>
    <r>
      <t>G</t>
    </r>
    <r>
      <rPr>
        <vertAlign val="subscript"/>
        <sz val="10"/>
        <rFont val="VNI-Times"/>
        <family val="0"/>
      </rPr>
      <t>XD</t>
    </r>
    <r>
      <rPr>
        <sz val="10"/>
        <rFont val="VNI-Times"/>
        <family val="0"/>
      </rPr>
      <t xml:space="preserve"> /1,1x 0,5%*1,1</t>
    </r>
  </si>
  <si>
    <t>NGÖÔØI LAÄP                                          KIEÃM TRA</t>
  </si>
  <si>
    <t>Taïm tính</t>
  </si>
  <si>
    <t>CHI PHÍ ÑEÀN BUØ GIAÛI TOÛA</t>
  </si>
  <si>
    <r>
      <t>G</t>
    </r>
    <r>
      <rPr>
        <b/>
        <vertAlign val="subscript"/>
        <sz val="10"/>
        <rFont val="VNI-Times"/>
        <family val="0"/>
      </rPr>
      <t>DBGT</t>
    </r>
  </si>
  <si>
    <r>
      <t>G</t>
    </r>
    <r>
      <rPr>
        <vertAlign val="subscript"/>
        <sz val="11"/>
        <rFont val="VNI-Times"/>
        <family val="0"/>
      </rPr>
      <t>2</t>
    </r>
  </si>
  <si>
    <t>Xem baûng tính</t>
  </si>
  <si>
    <t xml:space="preserve">Chi phí khaûo saùt </t>
  </si>
  <si>
    <r>
      <t>(G</t>
    </r>
    <r>
      <rPr>
        <b/>
        <vertAlign val="subscript"/>
        <sz val="10"/>
        <rFont val="VNI-Times"/>
        <family val="0"/>
      </rPr>
      <t>XD</t>
    </r>
    <r>
      <rPr>
        <b/>
        <sz val="10"/>
        <rFont val="VNI-Times"/>
        <family val="0"/>
      </rPr>
      <t>+G</t>
    </r>
    <r>
      <rPr>
        <b/>
        <vertAlign val="subscript"/>
        <sz val="10"/>
        <rFont val="VNI-Times"/>
        <family val="0"/>
      </rPr>
      <t>QLDA</t>
    </r>
    <r>
      <rPr>
        <b/>
        <sz val="10"/>
        <rFont val="VNI-Times"/>
        <family val="0"/>
      </rPr>
      <t>+G</t>
    </r>
    <r>
      <rPr>
        <b/>
        <vertAlign val="subscript"/>
        <sz val="10"/>
        <rFont val="VNI-Times"/>
        <family val="0"/>
      </rPr>
      <t>TV</t>
    </r>
    <r>
      <rPr>
        <b/>
        <sz val="10"/>
        <rFont val="VNI-Times"/>
        <family val="0"/>
      </rPr>
      <t>+G</t>
    </r>
    <r>
      <rPr>
        <b/>
        <vertAlign val="subscript"/>
        <sz val="10"/>
        <rFont val="VNI-Times"/>
        <family val="0"/>
      </rPr>
      <t>TB</t>
    </r>
    <r>
      <rPr>
        <b/>
        <sz val="10"/>
        <rFont val="VNI-Times"/>
        <family val="0"/>
      </rPr>
      <t>+G</t>
    </r>
    <r>
      <rPr>
        <b/>
        <vertAlign val="subscript"/>
        <sz val="10"/>
        <rFont val="VNI-Times"/>
        <family val="0"/>
      </rPr>
      <t>K</t>
    </r>
    <r>
      <rPr>
        <b/>
        <sz val="10"/>
        <rFont val="VNI-Times"/>
        <family val="0"/>
      </rPr>
      <t>) x 10%</t>
    </r>
  </si>
  <si>
    <r>
      <t>G</t>
    </r>
    <r>
      <rPr>
        <b/>
        <vertAlign val="subscript"/>
        <sz val="10"/>
        <rFont val="VNI-Times"/>
        <family val="0"/>
      </rPr>
      <t>XD</t>
    </r>
    <r>
      <rPr>
        <b/>
        <sz val="10"/>
        <rFont val="VNI-Times"/>
        <family val="0"/>
      </rPr>
      <t>+G</t>
    </r>
    <r>
      <rPr>
        <b/>
        <vertAlign val="subscript"/>
        <sz val="10"/>
        <rFont val="VNI-Times"/>
        <family val="0"/>
      </rPr>
      <t>TB</t>
    </r>
    <r>
      <rPr>
        <b/>
        <sz val="10"/>
        <rFont val="VNI-Times"/>
        <family val="0"/>
      </rPr>
      <t>+G</t>
    </r>
    <r>
      <rPr>
        <b/>
        <vertAlign val="subscript"/>
        <sz val="10"/>
        <rFont val="VNI-Times"/>
        <family val="0"/>
      </rPr>
      <t>QLDA</t>
    </r>
    <r>
      <rPr>
        <b/>
        <sz val="10"/>
        <rFont val="VNI-Times"/>
        <family val="0"/>
      </rPr>
      <t>+G</t>
    </r>
    <r>
      <rPr>
        <b/>
        <vertAlign val="subscript"/>
        <sz val="10"/>
        <rFont val="VNI-Times"/>
        <family val="0"/>
      </rPr>
      <t>TV</t>
    </r>
    <r>
      <rPr>
        <b/>
        <sz val="10"/>
        <rFont val="VNI-Times"/>
        <family val="0"/>
      </rPr>
      <t>+G</t>
    </r>
    <r>
      <rPr>
        <b/>
        <vertAlign val="subscript"/>
        <sz val="10"/>
        <rFont val="VNI-Times"/>
        <family val="0"/>
      </rPr>
      <t>K</t>
    </r>
    <r>
      <rPr>
        <b/>
        <sz val="10"/>
        <rFont val="VNI-Times"/>
        <family val="0"/>
      </rPr>
      <t>+G</t>
    </r>
    <r>
      <rPr>
        <b/>
        <vertAlign val="subscript"/>
        <sz val="10"/>
        <rFont val="VNI-Times"/>
        <family val="0"/>
      </rPr>
      <t>DP</t>
    </r>
  </si>
  <si>
    <t>Phan Thieát, thaùng …..naêm 2011</t>
  </si>
  <si>
    <r>
      <t>CHI PHÍ 
SAU THUEÁ (G</t>
    </r>
    <r>
      <rPr>
        <b/>
        <vertAlign val="subscript"/>
        <sz val="10"/>
        <rFont val="VNI-Times"/>
        <family val="0"/>
      </rPr>
      <t>XD</t>
    </r>
    <r>
      <rPr>
        <b/>
        <sz val="10"/>
        <rFont val="VNI-Times"/>
        <family val="0"/>
      </rPr>
      <t>)</t>
    </r>
  </si>
  <si>
    <t>CHI PHÍ 
TRÖÔÙC THUEÁ (G)</t>
  </si>
  <si>
    <r>
      <t>G</t>
    </r>
    <r>
      <rPr>
        <vertAlign val="subscript"/>
        <sz val="10"/>
        <rFont val="VNI-Times"/>
        <family val="0"/>
      </rPr>
      <t>XDCT</t>
    </r>
    <r>
      <rPr>
        <sz val="10"/>
        <rFont val="VNI-Times"/>
        <family val="0"/>
      </rPr>
      <t xml:space="preserve"> x 0,38%</t>
    </r>
  </si>
  <si>
    <r>
      <t>G</t>
    </r>
    <r>
      <rPr>
        <vertAlign val="subscript"/>
        <sz val="10"/>
        <rFont val="VNI-Times"/>
        <family val="0"/>
      </rPr>
      <t>XDCT</t>
    </r>
    <r>
      <rPr>
        <sz val="10"/>
        <rFont val="VNI-Times"/>
        <family val="0"/>
      </rPr>
      <t>x 0,64%*1,1</t>
    </r>
  </si>
  <si>
    <t>Chi phí laäp HSYC vaø ñaùnh giaù hoà sô ñeà xuaát</t>
  </si>
  <si>
    <r>
      <t>K</t>
    </r>
    <r>
      <rPr>
        <b/>
        <vertAlign val="subscript"/>
        <sz val="10"/>
        <rFont val="VNI-Times"/>
        <family val="0"/>
      </rPr>
      <t>1</t>
    </r>
    <r>
      <rPr>
        <b/>
        <sz val="10"/>
        <rFont val="VNI-Times"/>
        <family val="0"/>
      </rPr>
      <t>+…+K</t>
    </r>
    <r>
      <rPr>
        <b/>
        <vertAlign val="subscript"/>
        <sz val="10"/>
        <rFont val="VNI-Times"/>
        <family val="0"/>
      </rPr>
      <t>4</t>
    </r>
  </si>
  <si>
    <r>
      <t>G</t>
    </r>
    <r>
      <rPr>
        <vertAlign val="subscript"/>
        <sz val="11"/>
        <rFont val="VNI-Times"/>
        <family val="0"/>
      </rPr>
      <t>3</t>
    </r>
  </si>
  <si>
    <r>
      <t>G</t>
    </r>
    <r>
      <rPr>
        <vertAlign val="subscript"/>
        <sz val="11"/>
        <rFont val="VNI-Times"/>
        <family val="0"/>
      </rPr>
      <t>4</t>
    </r>
  </si>
  <si>
    <r>
      <t>G</t>
    </r>
    <r>
      <rPr>
        <vertAlign val="subscript"/>
        <sz val="11"/>
        <rFont val="VNI-Times"/>
        <family val="0"/>
      </rPr>
      <t>5</t>
    </r>
  </si>
  <si>
    <t>COÂNG TRÌNH : CHÔÏ MUÕI NEÙ, PHAN THIEÁT</t>
  </si>
  <si>
    <t>Chi phí xaây döïng
tröôùc thueá</t>
  </si>
  <si>
    <t>Chi phí xaây döïng sau thueá</t>
  </si>
  <si>
    <t>Chi phí xaây döïng laùn traïi, nhaø taïm</t>
  </si>
  <si>
    <t>VAT</t>
  </si>
  <si>
    <t>Caùch tính</t>
  </si>
  <si>
    <t>Nhaø baûo veä</t>
  </si>
  <si>
    <t>Kho haøng + Nhaø quaûn lyù + Maùy phaùt ñieän</t>
  </si>
  <si>
    <t>Nhaø loàng chính</t>
  </si>
  <si>
    <t>Nhaø loàng phuï</t>
  </si>
  <si>
    <t>Khu gom raùc</t>
  </si>
  <si>
    <t>10%*G</t>
  </si>
  <si>
    <t>Chi phí xaây döïng tröôùc thueá</t>
  </si>
  <si>
    <t>G</t>
  </si>
  <si>
    <r>
      <t>G</t>
    </r>
    <r>
      <rPr>
        <b/>
        <vertAlign val="subscript"/>
        <sz val="11"/>
        <rFont val="VNI-Times"/>
        <family val="0"/>
      </rPr>
      <t>1</t>
    </r>
    <r>
      <rPr>
        <b/>
        <sz val="11"/>
        <rFont val="VNI-Times"/>
        <family val="0"/>
      </rPr>
      <t>+…+G</t>
    </r>
    <r>
      <rPr>
        <b/>
        <vertAlign val="subscript"/>
        <sz val="11"/>
        <rFont val="VNI-Times"/>
        <family val="0"/>
      </rPr>
      <t>5</t>
    </r>
  </si>
  <si>
    <t>G+VAT</t>
  </si>
  <si>
    <r>
      <t>1%G</t>
    </r>
    <r>
      <rPr>
        <vertAlign val="subscript"/>
        <sz val="11"/>
        <rFont val="VNI-Times"/>
        <family val="0"/>
      </rPr>
      <t>XDCPT</t>
    </r>
  </si>
  <si>
    <r>
      <t>G</t>
    </r>
    <r>
      <rPr>
        <b/>
        <vertAlign val="subscript"/>
        <sz val="11"/>
        <rFont val="VNI-Times"/>
        <family val="0"/>
      </rPr>
      <t>XDLT</t>
    </r>
    <r>
      <rPr>
        <b/>
        <sz val="11"/>
        <rFont val="VNI-Times"/>
        <family val="0"/>
      </rPr>
      <t>+G</t>
    </r>
    <r>
      <rPr>
        <b/>
        <vertAlign val="subscript"/>
        <sz val="11"/>
        <rFont val="VNI-Times"/>
        <family val="0"/>
      </rPr>
      <t>XDCPT</t>
    </r>
  </si>
  <si>
    <r>
      <t>G</t>
    </r>
    <r>
      <rPr>
        <vertAlign val="subscript"/>
        <sz val="11"/>
        <rFont val="VNI-Times"/>
        <family val="0"/>
      </rPr>
      <t>XDLT</t>
    </r>
  </si>
  <si>
    <r>
      <t>G</t>
    </r>
    <r>
      <rPr>
        <b/>
        <vertAlign val="subscript"/>
        <sz val="11"/>
        <rFont val="VNI-Times"/>
        <family val="0"/>
      </rPr>
      <t>XDCPT</t>
    </r>
  </si>
  <si>
    <t>HAÏNG MUÏC:  NHAØ BAÛO VEÄ, BAÛI XE, KHO HAØNG + NHAØ QUAÛN LYÙ + MAÙY PHAÙT ÑIEÄN + NHAØ LOÀNG CHÍNH + NHAØ LOÀNG PHUÏ + KHU GOM RAÙC</t>
  </si>
  <si>
    <t>TRAÀN MINH NGUYEÄT                          NGUYEÃN THIEÂN VUÕ</t>
  </si>
  <si>
    <t xml:space="preserve"> P. GIAÙM ÑOÁC</t>
  </si>
  <si>
    <t>TRAÀN ANH PHUØNG</t>
  </si>
  <si>
    <t>Toång theå</t>
  </si>
  <si>
    <t>Nhaø xe</t>
  </si>
  <si>
    <t>Khu buoân baùn ngoaøi trôøi</t>
  </si>
  <si>
    <t>hs vuøng</t>
  </si>
  <si>
    <t>BIỂU MỨC THU PHÍ THẨM ĐỊNH DỰ ÁN ĐẦU TƯ XÂY DỰNG</t>
  </si>
  <si>
    <r>
      <t>(</t>
    </r>
    <r>
      <rPr>
        <i/>
        <sz val="12"/>
        <rFont val="Times New Roman"/>
        <family val="1"/>
      </rPr>
      <t>Ban hành kèm theo Thông tư số 176/2011/TT-BTC ngày 6/12/2011 của Bộ Tài chính)</t>
    </r>
  </si>
  <si>
    <t>Tổng mức đầu tư dự án</t>
  </si>
  <si>
    <t>(tỷ đồng)</t>
  </si>
  <si>
    <r>
      <t>&lt;</t>
    </r>
    <r>
      <rPr>
        <sz val="12"/>
        <rFont val="Times New Roman"/>
        <family val="1"/>
      </rPr>
      <t>15</t>
    </r>
  </si>
  <si>
    <t>≥10.000</t>
  </si>
  <si>
    <t>Tỷ lệ %</t>
  </si>
  <si>
    <t>Tổng mức đầu tư (Tỷ đồng)</t>
  </si>
  <si>
    <t>≤ 5</t>
  </si>
  <si>
    <t>≥ 10.000</t>
  </si>
  <si>
    <t>Thẩm tra, phê duyệt (%)</t>
  </si>
  <si>
    <t>0, 38</t>
  </si>
  <si>
    <t>0, 26</t>
  </si>
  <si>
    <t>0, 19</t>
  </si>
  <si>
    <t>0, 15</t>
  </si>
  <si>
    <t>0, 09</t>
  </si>
  <si>
    <t>0, 06</t>
  </si>
  <si>
    <t>0, 032</t>
  </si>
  <si>
    <r>
      <t xml:space="preserve"> </t>
    </r>
    <r>
      <rPr>
        <sz val="13"/>
        <rFont val="Times New Roman"/>
        <family val="1"/>
      </rPr>
      <t>Kiểm toán ( %)</t>
    </r>
  </si>
  <si>
    <t>0, 64</t>
  </si>
  <si>
    <t>0, 43</t>
  </si>
  <si>
    <t>0, 30</t>
  </si>
  <si>
    <t>0, 23</t>
  </si>
  <si>
    <t>0, 13</t>
  </si>
  <si>
    <t>0, 086</t>
  </si>
  <si>
    <t>0, 046</t>
  </si>
  <si>
    <t>19/2011/TT-BTC</t>
  </si>
  <si>
    <t xml:space="preserve">tong muc = </t>
  </si>
  <si>
    <t>ti</t>
  </si>
  <si>
    <t>- Sơn lót chống kiềm nội thất 17lít</t>
  </si>
  <si>
    <t>Đ/thùng</t>
  </si>
  <si>
    <t>- Sơn lót chống kiềm ngoại thất 17lít</t>
  </si>
  <si>
    <t>,,</t>
  </si>
  <si>
    <t>- Sơn trắng lăn trần 17lít</t>
  </si>
  <si>
    <t>- Sơn nước nội thất tiêu chuẩn 17 lít</t>
  </si>
  <si>
    <t>- Sơn ngoại thất tiêu chuẩn 17lít</t>
  </si>
  <si>
    <t>- Bột trét tường cao cấp Alpha (trong)</t>
  </si>
  <si>
    <t>Đ/bao</t>
  </si>
  <si>
    <t>- Bột trét tường cao cấp Alpha (ngoài)</t>
  </si>
  <si>
    <t>:5856</t>
  </si>
  <si>
    <t>§inh ®Øa</t>
  </si>
  <si>
    <t>c¸i</t>
  </si>
  <si>
    <t>:1660</t>
  </si>
  <si>
    <t>Bu l«ng M16-M20</t>
  </si>
  <si>
    <t>:6709</t>
  </si>
  <si>
    <t>Xi m¨ng PC40</t>
  </si>
  <si>
    <t>kg</t>
  </si>
  <si>
    <t>:5854</t>
  </si>
  <si>
    <t>§inh</t>
  </si>
  <si>
    <t>:6630</t>
  </si>
  <si>
    <t>ThÐp trßn D&lt;=10mm</t>
  </si>
  <si>
    <t>:6093</t>
  </si>
  <si>
    <t>D©y thÐp</t>
  </si>
  <si>
    <t>:6631</t>
  </si>
  <si>
    <t>ThÐp trßn D&lt;= 18mm</t>
  </si>
  <si>
    <t>:6433</t>
  </si>
  <si>
    <t>Que hµn</t>
  </si>
  <si>
    <t>:6711</t>
  </si>
  <si>
    <t>Xi m¨ng tr¾ng</t>
  </si>
  <si>
    <t>:6520</t>
  </si>
  <si>
    <t>S¾t vu«ng rçng 16x16</t>
  </si>
  <si>
    <t>:6497</t>
  </si>
  <si>
    <t>S¬n tæng hîp (s¾t)</t>
  </si>
  <si>
    <t>:6701</t>
  </si>
  <si>
    <t>X¨ng</t>
  </si>
  <si>
    <t>:1954</t>
  </si>
  <si>
    <t>Cån röa</t>
  </si>
  <si>
    <t>:2775</t>
  </si>
  <si>
    <t>Keo d¸n</t>
  </si>
  <si>
    <t>:6409</t>
  </si>
  <si>
    <t>N­íc</t>
  </si>
  <si>
    <t>lÝt</t>
  </si>
  <si>
    <t>:2611</t>
  </si>
  <si>
    <t>Tay vÞn thÐp hép 50x100</t>
  </si>
  <si>
    <t>m</t>
  </si>
  <si>
    <t>:6180</t>
  </si>
  <si>
    <t>G¹ch tµu èp 300x300</t>
  </si>
  <si>
    <t>:5976</t>
  </si>
  <si>
    <t>C¸t vµng</t>
  </si>
  <si>
    <t>m3</t>
  </si>
  <si>
    <t>:5819</t>
  </si>
  <si>
    <t>§¸ d¨m 4x6</t>
  </si>
  <si>
    <t>:5817</t>
  </si>
  <si>
    <t>§¸ d¨m 1x2</t>
  </si>
  <si>
    <t>:6302</t>
  </si>
  <si>
    <t>Gç v¸n khu«n</t>
  </si>
  <si>
    <t>:6286</t>
  </si>
  <si>
    <t>Gç ®µ nÑp</t>
  </si>
  <si>
    <t>:6289</t>
  </si>
  <si>
    <t>Gç chèng</t>
  </si>
  <si>
    <t>:6300</t>
  </si>
  <si>
    <t>Gç v¸n</t>
  </si>
  <si>
    <t>:5971</t>
  </si>
  <si>
    <t>C¸t mÞn ML 1,5 - 2,0</t>
  </si>
  <si>
    <t>:6301</t>
  </si>
  <si>
    <t>Gç v¸n cÇu c«ng t¸c</t>
  </si>
  <si>
    <t>:5972</t>
  </si>
  <si>
    <t>C¸t nÒn</t>
  </si>
  <si>
    <t>:5972sn</t>
  </si>
  <si>
    <t>C¸t san nÒn</t>
  </si>
  <si>
    <t>:5972®m</t>
  </si>
  <si>
    <t>§Êt mµu trång c©y</t>
  </si>
  <si>
    <t>:5831</t>
  </si>
  <si>
    <t>§¸ chÎ 15x20x25</t>
  </si>
  <si>
    <t>viªn</t>
  </si>
  <si>
    <t>:6206</t>
  </si>
  <si>
    <t>G¹ch thÎ 4,5x9x19</t>
  </si>
  <si>
    <t>:5811</t>
  </si>
  <si>
    <t>§¸ mµi</t>
  </si>
  <si>
    <t>:5810</t>
  </si>
  <si>
    <t>§¸ c¾t</t>
  </si>
  <si>
    <t>cÊp ®iÖn tæng thÓ</t>
  </si>
  <si>
    <t>:1507</t>
  </si>
  <si>
    <t>Ng¾t ®iÖn tù ®éng (CB) 2P 20A</t>
  </si>
  <si>
    <t>:6872</t>
  </si>
  <si>
    <t>Ng¾t ®iÖn tù ®éng (CB) 2P 40A</t>
  </si>
  <si>
    <t>:6747</t>
  </si>
  <si>
    <t>Ng¾t ®iÖn tù ®éng (MCB) 3P 80A</t>
  </si>
  <si>
    <t>:6751</t>
  </si>
  <si>
    <t>Tñ ®iÖn tæng</t>
  </si>
  <si>
    <t>:2248</t>
  </si>
  <si>
    <t>D©y dÉn ®iÖn 1x5mm2</t>
  </si>
  <si>
    <t>:2249</t>
  </si>
  <si>
    <t>c¸p ®ång 1 lâi bäc PVC 1x11mm2</t>
  </si>
  <si>
    <t>:2495</t>
  </si>
  <si>
    <t>èng g©n ruét gµ fi 16mm luån d©y®iÖn ©m</t>
  </si>
  <si>
    <t>:VTTT1</t>
  </si>
  <si>
    <t xml:space="preserve">B¨ng keo c¸ch ®iÖn </t>
  </si>
  <si>
    <t>cuén</t>
  </si>
  <si>
    <t>:6782</t>
  </si>
  <si>
    <t>Cäc tiÕp ®Þa b»ng ®ång fi 16mm; L=2400mm</t>
  </si>
  <si>
    <t>cäc</t>
  </si>
  <si>
    <t>:6781</t>
  </si>
  <si>
    <t>D©y dÉn sÐt (C¸p chèng sÐt) chuyªn dïng 60mm2</t>
  </si>
  <si>
    <t>:VTTT2</t>
  </si>
  <si>
    <t>èc siÕt c¸p b»ng ®ång</t>
  </si>
  <si>
    <t>cÊp n­íc tæng thÓ</t>
  </si>
  <si>
    <t>:2503</t>
  </si>
  <si>
    <t>èng nhùa PVC fi 34mm x2.0mm</t>
  </si>
  <si>
    <t>:2306</t>
  </si>
  <si>
    <t xml:space="preserve">§ång hå </t>
  </si>
  <si>
    <t>:6771</t>
  </si>
  <si>
    <t>Khãa nhùa PVC fi 34mm</t>
  </si>
  <si>
    <t>:2113</t>
  </si>
  <si>
    <t>Co nhùa 90 ®é PVC fi 34mm</t>
  </si>
  <si>
    <t>:6768</t>
  </si>
  <si>
    <t>Tª rót nhùa PVC fi 34mm</t>
  </si>
  <si>
    <t>tho¸t n­íc trong nhµ lång chÝnh</t>
  </si>
  <si>
    <t>:2506</t>
  </si>
  <si>
    <t>èng nhùa PVC fi 60mm x2.0 mm</t>
  </si>
  <si>
    <t>:2912</t>
  </si>
  <si>
    <t>PhÔu thu D100mm</t>
  </si>
  <si>
    <t>:2116</t>
  </si>
  <si>
    <t>Co nhùa 90 ®é PVC fi 60mm</t>
  </si>
  <si>
    <t>tong muc da duyet</t>
  </si>
  <si>
    <t>GXDCT</t>
  </si>
  <si>
    <t>KÝ HIỆU</t>
  </si>
  <si>
    <t>CÁCH TÍNH</t>
  </si>
  <si>
    <t>Đơn vị tính: đồng</t>
  </si>
  <si>
    <t>NỘI DUNG CHI PHÍ</t>
  </si>
  <si>
    <t>THUẾ GTGT</t>
  </si>
  <si>
    <t>GIÁ TRỊ SAU THUẾ</t>
  </si>
  <si>
    <t>GIÁ TRỊ TRƯỚC THUẾ</t>
  </si>
  <si>
    <t>CHI PHÍ XÂY DỰNG</t>
  </si>
  <si>
    <t xml:space="preserve">CHI PHÍ QUẢN LÝ DỰ ÁN </t>
  </si>
  <si>
    <t>CHI PHÍ TƯ VẤN ĐẦU TƯ XD</t>
  </si>
  <si>
    <t>Chi phí thẩm tra Thiết kế</t>
  </si>
  <si>
    <t>Chi phí thẩm tra Dự toán</t>
  </si>
  <si>
    <t xml:space="preserve">Chi phí giám sát thi công </t>
  </si>
  <si>
    <t>Chi phí giám sát lắp đăt thiết bị</t>
  </si>
  <si>
    <t>CHI PHÍ KHÁC</t>
  </si>
  <si>
    <t xml:space="preserve">Chi phí bảo hiểm công trình </t>
  </si>
  <si>
    <t xml:space="preserve">Chi phí thẩm tra và phê duyệt quyết toán </t>
  </si>
  <si>
    <t xml:space="preserve">Chi phí kiểm toán </t>
  </si>
  <si>
    <t>CHI PHÍ DỰ PHÒNG</t>
  </si>
  <si>
    <t>I+II+III+IV+V+VI</t>
  </si>
  <si>
    <t>Gdp</t>
  </si>
  <si>
    <t>Chi phí xây dựng sau thuế</t>
  </si>
  <si>
    <t>Chi phí phát sinh do khối lượng</t>
  </si>
  <si>
    <t>Chi phí phát sinh do trượt giá</t>
  </si>
  <si>
    <t>∑T</t>
  </si>
  <si>
    <t>∑K</t>
  </si>
  <si>
    <t>TỔNG DỰ TOÁN</t>
  </si>
  <si>
    <r>
      <t>G</t>
    </r>
    <r>
      <rPr>
        <b/>
        <vertAlign val="subscript"/>
        <sz val="11"/>
        <rFont val="Times New Roman"/>
        <family val="1"/>
      </rPr>
      <t>XD</t>
    </r>
  </si>
  <si>
    <r>
      <t>G</t>
    </r>
    <r>
      <rPr>
        <b/>
        <vertAlign val="subscript"/>
        <sz val="11"/>
        <rFont val="Times New Roman"/>
        <family val="1"/>
      </rPr>
      <t>QLDA</t>
    </r>
  </si>
  <si>
    <r>
      <t>G</t>
    </r>
    <r>
      <rPr>
        <b/>
        <vertAlign val="subscript"/>
        <sz val="11"/>
        <rFont val="Times New Roman"/>
        <family val="1"/>
      </rPr>
      <t>TV</t>
    </r>
  </si>
  <si>
    <r>
      <t>T</t>
    </r>
    <r>
      <rPr>
        <vertAlign val="subscript"/>
        <sz val="11"/>
        <rFont val="Times New Roman"/>
        <family val="1"/>
      </rPr>
      <t>2</t>
    </r>
  </si>
  <si>
    <r>
      <t>G</t>
    </r>
    <r>
      <rPr>
        <b/>
        <vertAlign val="subscript"/>
        <sz val="11"/>
        <rFont val="Times New Roman"/>
        <family val="1"/>
      </rPr>
      <t>K</t>
    </r>
  </si>
  <si>
    <r>
      <t>K</t>
    </r>
    <r>
      <rPr>
        <vertAlign val="subscript"/>
        <sz val="11"/>
        <rFont val="Times New Roman"/>
        <family val="1"/>
      </rPr>
      <t>5</t>
    </r>
  </si>
  <si>
    <r>
      <t>∑G</t>
    </r>
    <r>
      <rPr>
        <b/>
        <vertAlign val="subscript"/>
        <sz val="11"/>
        <rFont val="Times New Roman"/>
        <family val="1"/>
      </rPr>
      <t>DP</t>
    </r>
  </si>
  <si>
    <r>
      <t>G</t>
    </r>
    <r>
      <rPr>
        <vertAlign val="subscript"/>
        <sz val="11"/>
        <rFont val="Times New Roman"/>
        <family val="1"/>
      </rPr>
      <t>DP1</t>
    </r>
  </si>
  <si>
    <r>
      <t>G</t>
    </r>
    <r>
      <rPr>
        <vertAlign val="subscript"/>
        <sz val="11"/>
        <rFont val="Times New Roman"/>
        <family val="1"/>
      </rPr>
      <t>DP2</t>
    </r>
  </si>
  <si>
    <t>Lệ phí XPXD</t>
  </si>
  <si>
    <t>Nội dung</t>
  </si>
  <si>
    <t>Công trình năng lượng</t>
  </si>
  <si>
    <t>Công trình đường bộ</t>
  </si>
  <si>
    <t>Công trình cầu, hầm</t>
  </si>
  <si>
    <t>Chi phí lập HSMT, đánh giá HSDT xây dựng</t>
  </si>
  <si>
    <t>Chi phí thẩm định HSMT xây dựng</t>
  </si>
  <si>
    <t>Chi phí thẩm định KQ lựa chọn nhà thầu XD</t>
  </si>
  <si>
    <t>Chi phí thẩm định HSMT thiết bị</t>
  </si>
  <si>
    <t>Chi phí khảo sát địa chất</t>
  </si>
  <si>
    <t>Ký hiệu</t>
  </si>
  <si>
    <t>09/2016/TT-BTC</t>
  </si>
  <si>
    <t>Lệ phí thẩm duyệt PCCC</t>
  </si>
  <si>
    <t>TMDT (TỶ)</t>
  </si>
  <si>
    <t>THẨM TRA, PHÊ DUYỆT (%)</t>
  </si>
  <si>
    <t>KiỂM TOÁN (%)</t>
  </si>
  <si>
    <t>cận trên</t>
  </si>
  <si>
    <t>Ka</t>
  </si>
  <si>
    <t>cận dưới</t>
  </si>
  <si>
    <t>Kb</t>
  </si>
  <si>
    <t>TMDT</t>
  </si>
  <si>
    <t>Gi</t>
  </si>
  <si>
    <t>TMDT cận trên</t>
  </si>
  <si>
    <t>Ga</t>
  </si>
  <si>
    <t>TMDT cận dưới</t>
  </si>
  <si>
    <t>Gb</t>
  </si>
  <si>
    <r>
      <t>T</t>
    </r>
    <r>
      <rPr>
        <vertAlign val="subscript"/>
        <sz val="11"/>
        <rFont val="Times New Roman"/>
        <family val="1"/>
      </rPr>
      <t>3</t>
    </r>
  </si>
  <si>
    <r>
      <t>T</t>
    </r>
    <r>
      <rPr>
        <vertAlign val="subscript"/>
        <sz val="11"/>
        <rFont val="Times New Roman"/>
        <family val="1"/>
      </rPr>
      <t>4</t>
    </r>
  </si>
  <si>
    <r>
      <t>T</t>
    </r>
    <r>
      <rPr>
        <vertAlign val="subscript"/>
        <sz val="11"/>
        <rFont val="Times New Roman"/>
        <family val="1"/>
      </rPr>
      <t>6</t>
    </r>
  </si>
  <si>
    <t>tạm tính</t>
  </si>
  <si>
    <t>HÃY CHỌN LOẠI CÔNG TRÌNH BÊN DƯỚI</t>
  </si>
  <si>
    <t>CHỈ SỐ GIÁ XÂY DỰNG CÔNG TRÌNH - TỈNH BÌNH THUẬN</t>
  </si>
  <si>
    <t>Công trình văn hóa</t>
  </si>
  <si>
    <t>BẢNG TÍNH CHI PHÍ DỰ PHÒNG</t>
  </si>
  <si>
    <t>THÁNG / NĂM CÔNG BỐ CHỈ SỐ GIÁ</t>
  </si>
  <si>
    <t>Năm 2012</t>
  </si>
  <si>
    <t>Năm 2013</t>
  </si>
  <si>
    <t>Năm/2014</t>
  </si>
  <si>
    <t>Năm/2015</t>
  </si>
  <si>
    <t>Quý III/2016</t>
  </si>
  <si>
    <t>03/QĐ-SXD ngày 09/01/2012 của Sở Xây dựng tỉnh Bình;</t>
  </si>
  <si>
    <t>06/QĐ-SXD ngày 13/01/2014 của Sở Xây dựng tỉnh Bình Thuận. (Chỉ số giá xây dựng năm/2013);</t>
  </si>
  <si>
    <t>07/QĐ-SXD ngày 14/01/2015 của Sở Xây dựng tỉnh Bình Thuận. (Chỉ số giá xây dựng năm/2014);</t>
  </si>
  <si>
    <t>11/QĐ-SXD ngày 13/01/2016 của Sở Xây dựng tỉnh Bình Thuận. (Chỉ số giá xây dựng năm/2015);</t>
  </si>
  <si>
    <t>I. CÁC CĂN CỨ XÁC ĐỊNH DỰ PHÒNG PHÍ</t>
  </si>
  <si>
    <t>- Thông tư số 05/2016/TT-BXD ngày 10/5/2016 của Bộ xây dựng về Hướng dẫn lập và quản lý chi phí đầu tư xây dựng công trình;</t>
  </si>
  <si>
    <t>LOẠI CÔNG TRÌNH</t>
  </si>
  <si>
    <t>NĂM GỐC TÍNH CHỈ SỐ GIÁ LÀ 100</t>
  </si>
  <si>
    <t>2011=100</t>
  </si>
  <si>
    <t>2011=101</t>
  </si>
  <si>
    <t>CÔNG TRÌNH XÂY DỰNG DÂN DỤNG</t>
  </si>
  <si>
    <t>Công trình nhà ở</t>
  </si>
  <si>
    <t>II. TỔNG MỨC ĐẦU TƯ (CHƯA TÍNH DỰ PHÒNG PHÍ)</t>
  </si>
  <si>
    <t>Công trình giáo dục</t>
  </si>
  <si>
    <t>Các khoản mục chi phí</t>
  </si>
  <si>
    <t>Thành tiền</t>
  </si>
  <si>
    <t>Đơn vị</t>
  </si>
  <si>
    <t>Chi phí xây dựng</t>
  </si>
  <si>
    <r>
      <t>G</t>
    </r>
    <r>
      <rPr>
        <vertAlign val="subscript"/>
        <sz val="11"/>
        <rFont val="Arial"/>
        <family val="2"/>
      </rPr>
      <t>XD</t>
    </r>
  </si>
  <si>
    <t>đồng</t>
  </si>
  <si>
    <t>Trụ sở cơ quan, văn phòng</t>
  </si>
  <si>
    <t>Chi phí thiết bị</t>
  </si>
  <si>
    <r>
      <t>G</t>
    </r>
    <r>
      <rPr>
        <vertAlign val="subscript"/>
        <sz val="11"/>
        <color indexed="12"/>
        <rFont val="Arial"/>
        <family val="2"/>
      </rPr>
      <t>TB</t>
    </r>
  </si>
  <si>
    <t>Công trình y tế</t>
  </si>
  <si>
    <t>Chi phí giải phóng mặt bằng</t>
  </si>
  <si>
    <r>
      <t>G</t>
    </r>
    <r>
      <rPr>
        <vertAlign val="subscript"/>
        <sz val="11"/>
        <rFont val="Arial"/>
        <family val="2"/>
      </rPr>
      <t>GPMB</t>
    </r>
  </si>
  <si>
    <t>Công trình khách sạn</t>
  </si>
  <si>
    <t>Chi phí quản lý dự án</t>
  </si>
  <si>
    <r>
      <t>G</t>
    </r>
    <r>
      <rPr>
        <vertAlign val="subscript"/>
        <sz val="11"/>
        <rFont val="Arial"/>
        <family val="2"/>
      </rPr>
      <t>QLDA</t>
    </r>
  </si>
  <si>
    <t>Công trình tháp thu phát sóng PT, TH</t>
  </si>
  <si>
    <t>Chi phí tư vấn đầu tư xây dựng</t>
  </si>
  <si>
    <r>
      <t>G</t>
    </r>
    <r>
      <rPr>
        <vertAlign val="subscript"/>
        <sz val="11"/>
        <rFont val="Arial"/>
        <family val="2"/>
      </rPr>
      <t>TV</t>
    </r>
  </si>
  <si>
    <t>CÔNG TRÌNH CÔNG NGHIỆP</t>
  </si>
  <si>
    <t>Chi phí khác</t>
  </si>
  <si>
    <r>
      <t>G</t>
    </r>
    <r>
      <rPr>
        <vertAlign val="subscript"/>
        <sz val="11"/>
        <rFont val="Arial"/>
        <family val="2"/>
      </rPr>
      <t>K</t>
    </r>
  </si>
  <si>
    <t>TỔNG MỨC ĐẦU TƯ</t>
  </si>
  <si>
    <t>Đường dây</t>
  </si>
  <si>
    <t>Trạm biến áp</t>
  </si>
  <si>
    <r>
      <t>III. DỰ PHÒNG CHO KHỐI LƯỢNG CÔNG VIỆC PHÁT SINH (G</t>
    </r>
    <r>
      <rPr>
        <b/>
        <vertAlign val="subscript"/>
        <sz val="12"/>
        <color indexed="12"/>
        <rFont val="Arial"/>
        <family val="2"/>
      </rPr>
      <t>DP1</t>
    </r>
    <r>
      <rPr>
        <b/>
        <sz val="12"/>
        <color indexed="12"/>
        <rFont val="Arial"/>
        <family val="2"/>
      </rPr>
      <t>)</t>
    </r>
  </si>
  <si>
    <t>Công trình công nghiệp dệt, may</t>
  </si>
  <si>
    <t>Công trình công nghiệp vật liệu xây dựng</t>
  </si>
  <si>
    <r>
      <t>G</t>
    </r>
    <r>
      <rPr>
        <vertAlign val="subscript"/>
        <sz val="11"/>
        <rFont val="Arial"/>
        <family val="2"/>
      </rPr>
      <t>DP1</t>
    </r>
    <r>
      <rPr>
        <sz val="11"/>
        <rFont val="Arial"/>
        <family val="2"/>
      </rPr>
      <t xml:space="preserve"> =</t>
    </r>
  </si>
  <si>
    <r>
      <t>K</t>
    </r>
    <r>
      <rPr>
        <vertAlign val="subscript"/>
        <sz val="11"/>
        <rFont val="Arial"/>
        <family val="2"/>
      </rPr>
      <t>PS</t>
    </r>
    <r>
      <rPr>
        <sz val="11"/>
        <rFont val="Arial"/>
        <family val="2"/>
      </rPr>
      <t xml:space="preserve"> =</t>
    </r>
  </si>
  <si>
    <t>CÔNG TRÌNH GIAO THÔNG</t>
  </si>
  <si>
    <r>
      <t>IV. DỰ PHÒNG CHO YẾU TỐ TRƯỢT GIÁ (G</t>
    </r>
    <r>
      <rPr>
        <b/>
        <vertAlign val="subscript"/>
        <sz val="12"/>
        <color indexed="12"/>
        <rFont val="Arial"/>
        <family val="2"/>
      </rPr>
      <t>DP2</t>
    </r>
    <r>
      <rPr>
        <b/>
        <sz val="12"/>
        <color indexed="12"/>
        <rFont val="Arial"/>
        <family val="2"/>
      </rPr>
      <t>)</t>
    </r>
  </si>
  <si>
    <t>Đường nhựa asphan; đường thấm nhập nhựa, đường láng nhựa</t>
  </si>
  <si>
    <t>T: Độ dài thời gian thi công xây dựng công trình (năm);</t>
  </si>
  <si>
    <t>Đường bê tông xi măng</t>
  </si>
  <si>
    <t>t: Số thứ tự năm phân bổ vốn thực hiện dự án (t=1÷T);</t>
  </si>
  <si>
    <r>
      <t>V</t>
    </r>
    <r>
      <rPr>
        <vertAlign val="subscript"/>
        <sz val="11"/>
        <rFont val="Arial"/>
        <family val="2"/>
      </rPr>
      <t>t</t>
    </r>
    <r>
      <rPr>
        <sz val="11"/>
        <rFont val="Arial"/>
        <family val="2"/>
      </rPr>
      <t>: Vốn đầu tư dự kiến thực hiện trong năm thứ t;</t>
    </r>
  </si>
  <si>
    <t>Cầu; cống bê tông xi măng</t>
  </si>
  <si>
    <r>
      <t>L</t>
    </r>
    <r>
      <rPr>
        <vertAlign val="subscript"/>
        <sz val="11"/>
        <rFont val="Arial"/>
        <family val="2"/>
      </rPr>
      <t>Vayt</t>
    </r>
    <r>
      <rPr>
        <sz val="11"/>
        <rFont val="Arial"/>
        <family val="2"/>
      </rPr>
      <t>: Chi phí lãi vay của vốn đầu tư dự kiến thực hiện trong năm thứ t;</t>
    </r>
  </si>
  <si>
    <r>
      <t>L</t>
    </r>
    <r>
      <rPr>
        <vertAlign val="subscript"/>
        <sz val="11"/>
        <rFont val="Arial"/>
        <family val="2"/>
      </rPr>
      <t>Vayt</t>
    </r>
    <r>
      <rPr>
        <sz val="11"/>
        <rFont val="Arial"/>
        <family val="2"/>
      </rPr>
      <t xml:space="preserve"> =</t>
    </r>
  </si>
  <si>
    <t>CÔNG TRÌNH THUỶ LỢI</t>
  </si>
  <si>
    <r>
      <t>I</t>
    </r>
    <r>
      <rPr>
        <vertAlign val="subscript"/>
        <sz val="11"/>
        <rFont val="Arial"/>
        <family val="2"/>
      </rPr>
      <t>XDCTbq</t>
    </r>
    <r>
      <rPr>
        <sz val="11"/>
        <rFont val="Arial"/>
        <family val="2"/>
      </rPr>
      <t>: Mức độ trượt giá bình quân tính trên cơ sở bình quân các chỉ số giá xây dựng công trình theo loại công trình của tối thiểu 3 năm gần nhất so với thời điểm tính toán;</t>
    </r>
  </si>
  <si>
    <t>Đập bê tông</t>
  </si>
  <si>
    <r>
      <t>D</t>
    </r>
    <r>
      <rPr>
        <sz val="11"/>
        <rFont val="Arial"/>
        <family val="2"/>
      </rPr>
      <t>I</t>
    </r>
    <r>
      <rPr>
        <vertAlign val="subscript"/>
        <sz val="11"/>
        <rFont val="Arial"/>
        <family val="2"/>
      </rPr>
      <t>XDCTbq</t>
    </r>
    <r>
      <rPr>
        <sz val="11"/>
        <rFont val="Arial"/>
        <family val="2"/>
      </rPr>
      <t>: Mức dự báo biến động của các yếu tố chi phí, giá cả.</t>
    </r>
  </si>
  <si>
    <r>
      <t>D</t>
    </r>
    <r>
      <rPr>
        <sz val="11"/>
        <rFont val="Arial"/>
        <family val="2"/>
      </rPr>
      <t>I</t>
    </r>
    <r>
      <rPr>
        <vertAlign val="subscript"/>
        <sz val="11"/>
        <rFont val="Arial"/>
        <family val="2"/>
      </rPr>
      <t>XDCTbq</t>
    </r>
    <r>
      <rPr>
        <sz val="11"/>
        <rFont val="Arial"/>
        <family val="2"/>
      </rPr>
      <t xml:space="preserve"> =</t>
    </r>
  </si>
  <si>
    <t>Kênh bê tông xi măng</t>
  </si>
  <si>
    <t>Năm bắt đầu hiện dự án:</t>
  </si>
  <si>
    <t>Tiến độ thực hiện dự án:</t>
  </si>
  <si>
    <t>Kè bê tông cốt thép</t>
  </si>
  <si>
    <t>BẢNG 1: PHÂN BỔ VỐN ĐẦU TƯ THEO TIẾN ĐỘ THỰC HIỆN</t>
  </si>
  <si>
    <t>Tường chắn bêtông cốt thép</t>
  </si>
  <si>
    <t>Tiến độ thực hiện dự án (năm)</t>
  </si>
  <si>
    <t>CÔNG TRÌNH HẠ TẦNG KỸ THUẬT</t>
  </si>
  <si>
    <t>Công trình mạng cấp nước</t>
  </si>
  <si>
    <t>Mức phân bổ vốn từng năm (%)</t>
  </si>
  <si>
    <t>Công trình mạng thoát nước</t>
  </si>
  <si>
    <r>
      <t>Vốn phân bổ V</t>
    </r>
    <r>
      <rPr>
        <vertAlign val="subscript"/>
        <sz val="11"/>
        <rFont val="Arial"/>
        <family val="2"/>
      </rPr>
      <t>t</t>
    </r>
    <r>
      <rPr>
        <sz val="11"/>
        <rFont val="Arial"/>
        <family val="2"/>
      </rPr>
      <t xml:space="preserve"> (đồng)</t>
    </r>
  </si>
  <si>
    <t>Công trình xử lý nước thải</t>
  </si>
  <si>
    <t>BẢNG 2 TÍNH MỨC ĐỘ TRƯỢT GIÁ BÌNH QUÂN</t>
  </si>
  <si>
    <t>Chỉ tiêu</t>
  </si>
  <si>
    <t>Chỉ số giá xây dựng (tỉnh Bình Thuận)</t>
  </si>
  <si>
    <t>Chỉ số giá xây dựng so với năm gốc 2013=100</t>
  </si>
  <si>
    <t>Hệ số trượt giá liên hoàn (chỉ số giá năm đó chia cho chỉ số giá năm liền trước)</t>
  </si>
  <si>
    <t>Mức độ trượt giá từng năm</t>
  </si>
  <si>
    <r>
      <t>Mức độ trượt giá trung bình hàng năm I</t>
    </r>
    <r>
      <rPr>
        <vertAlign val="subscript"/>
        <sz val="11"/>
        <rFont val="Arial"/>
        <family val="2"/>
      </rPr>
      <t>XDbq</t>
    </r>
  </si>
  <si>
    <t>BẢNG 3: TÍNH CHI PHÍ DỰ PHÒNG CHO YẾU TỐ TRƯỢT GIÁ</t>
  </si>
  <si>
    <t>Chi phí thực hiện dự án theo tiến độ chưa có trượt giá (đồng)</t>
  </si>
  <si>
    <t>Chi phí thực hiện dự án theo tiến độ đã có trượt giá</t>
  </si>
  <si>
    <t>Trượt giá từng năm</t>
  </si>
  <si>
    <r>
      <t>Trượt giá tích luỹ (G</t>
    </r>
    <r>
      <rPr>
        <vertAlign val="subscript"/>
        <sz val="11"/>
        <rFont val="Arial"/>
        <family val="2"/>
      </rPr>
      <t>DP2</t>
    </r>
    <r>
      <rPr>
        <sz val="11"/>
        <rFont val="Arial"/>
        <family val="2"/>
      </rPr>
      <t>)</t>
    </r>
  </si>
  <si>
    <t>V. KẾT LUẬN</t>
  </si>
  <si>
    <r>
      <t>- Chi phí dự phòng do phát sinh (G</t>
    </r>
    <r>
      <rPr>
        <vertAlign val="subscript"/>
        <sz val="11"/>
        <rFont val="Arial"/>
        <family val="2"/>
      </rPr>
      <t>DP1</t>
    </r>
    <r>
      <rPr>
        <sz val="11"/>
        <rFont val="Arial"/>
        <family val="2"/>
      </rPr>
      <t>):</t>
    </r>
  </si>
  <si>
    <r>
      <t>- Chi phí dự phòng do trượt giá (G</t>
    </r>
    <r>
      <rPr>
        <vertAlign val="subscript"/>
        <sz val="11"/>
        <rFont val="Arial"/>
        <family val="2"/>
      </rPr>
      <t>DP2</t>
    </r>
    <r>
      <rPr>
        <sz val="11"/>
        <rFont val="Arial"/>
        <family val="2"/>
      </rPr>
      <t>):</t>
    </r>
  </si>
  <si>
    <r>
      <t>*Tổng chi phí dự phòng do phát sinh và trượt giá (G</t>
    </r>
    <r>
      <rPr>
        <b/>
        <vertAlign val="subscript"/>
        <sz val="11"/>
        <color indexed="12"/>
        <rFont val="Arial"/>
        <family val="2"/>
      </rPr>
      <t>DP</t>
    </r>
    <r>
      <rPr>
        <b/>
        <sz val="11"/>
        <color indexed="12"/>
        <rFont val="Arial"/>
        <family val="2"/>
      </rPr>
      <t>=G</t>
    </r>
    <r>
      <rPr>
        <b/>
        <vertAlign val="subscript"/>
        <sz val="11"/>
        <color indexed="12"/>
        <rFont val="Arial"/>
        <family val="2"/>
      </rPr>
      <t>DP1</t>
    </r>
    <r>
      <rPr>
        <b/>
        <sz val="11"/>
        <color indexed="12"/>
        <rFont val="Arial"/>
        <family val="2"/>
      </rPr>
      <t>+G</t>
    </r>
    <r>
      <rPr>
        <b/>
        <vertAlign val="subscript"/>
        <sz val="11"/>
        <color indexed="12"/>
        <rFont val="Arial"/>
        <family val="2"/>
      </rPr>
      <t>DP2</t>
    </r>
    <r>
      <rPr>
        <b/>
        <sz val="11"/>
        <color indexed="12"/>
        <rFont val="Arial"/>
        <family val="2"/>
      </rPr>
      <t>):</t>
    </r>
  </si>
  <si>
    <r>
      <t>- Hệ số dự phòng phí do phát sinh (K</t>
    </r>
    <r>
      <rPr>
        <vertAlign val="subscript"/>
        <sz val="11"/>
        <rFont val="Arial"/>
        <family val="2"/>
      </rPr>
      <t>PS</t>
    </r>
    <r>
      <rPr>
        <sz val="11"/>
        <rFont val="Arial"/>
        <family val="2"/>
      </rPr>
      <t>):</t>
    </r>
  </si>
  <si>
    <r>
      <t>- Hệ số dự phòng do trượt giá (K</t>
    </r>
    <r>
      <rPr>
        <vertAlign val="subscript"/>
        <sz val="11"/>
        <rFont val="Arial"/>
        <family val="2"/>
      </rPr>
      <t>TG</t>
    </r>
    <r>
      <rPr>
        <sz val="11"/>
        <rFont val="Arial"/>
        <family val="2"/>
      </rPr>
      <t>):</t>
    </r>
  </si>
  <si>
    <r>
      <t>*Tổng hệ số dự phòng do phát sinh và trượt giá (K</t>
    </r>
    <r>
      <rPr>
        <b/>
        <vertAlign val="subscript"/>
        <sz val="11"/>
        <color indexed="12"/>
        <rFont val="Arial"/>
        <family val="2"/>
      </rPr>
      <t>DP</t>
    </r>
    <r>
      <rPr>
        <b/>
        <sz val="11"/>
        <color indexed="12"/>
        <rFont val="Arial"/>
        <family val="2"/>
      </rPr>
      <t>=K</t>
    </r>
    <r>
      <rPr>
        <b/>
        <vertAlign val="subscript"/>
        <sz val="11"/>
        <color indexed="12"/>
        <rFont val="Arial"/>
        <family val="2"/>
      </rPr>
      <t>PS</t>
    </r>
    <r>
      <rPr>
        <b/>
        <sz val="11"/>
        <color indexed="12"/>
        <rFont val="Arial"/>
        <family val="2"/>
      </rPr>
      <t>+K</t>
    </r>
    <r>
      <rPr>
        <b/>
        <vertAlign val="subscript"/>
        <sz val="11"/>
        <color indexed="12"/>
        <rFont val="Arial"/>
        <family val="2"/>
      </rPr>
      <t>TG</t>
    </r>
    <r>
      <rPr>
        <b/>
        <sz val="11"/>
        <color indexed="12"/>
        <rFont val="Arial"/>
        <family val="2"/>
      </rPr>
      <t>):</t>
    </r>
  </si>
  <si>
    <t>Thông tư nghị định áp dụng</t>
  </si>
  <si>
    <t>NĐ 63/2014 NĐ-CP</t>
  </si>
  <si>
    <t>HS 79</t>
  </si>
  <si>
    <t>Chi phí thẩm định giá thiết bị</t>
  </si>
  <si>
    <t>QĐ 79/2016</t>
  </si>
  <si>
    <t xml:space="preserve">Tổng mức đầu tư </t>
  </si>
  <si>
    <t>Tỷ lệ tính phí (%)</t>
  </si>
  <si>
    <t>Dự án, công trình hạ tầng kỹ thuật, công trình giao thông</t>
  </si>
  <si>
    <t>Dự án, công trình dầu khí, năng lượng, hóa chất</t>
  </si>
  <si>
    <t>Dự án, công trình dân dụng, công nghiệp khác</t>
  </si>
  <si>
    <t>Dự án, công trình khác</t>
  </si>
  <si>
    <t>CHI PHÍ THIẾT BỊ</t>
  </si>
  <si>
    <t>Theo Quyết định số 79/QĐ-BXD ngày 15/02/2017 của Bộ xây dựng</t>
  </si>
  <si>
    <t>Định mức chi phí quản lý dự án và tư vấn đầu tư xây dựng</t>
  </si>
  <si>
    <t>Chi phí xây dựng (Gxd):</t>
  </si>
  <si>
    <t>Chi phí thiết bị (Gtb):</t>
  </si>
  <si>
    <t>GIÁ TRỊ NỘI SUY CỦA BẠN</t>
  </si>
  <si>
    <t>Bảng số 1: Định mức chi phí quản lý dự án</t>
  </si>
  <si>
    <t>Đơn vị tính: tỷ lệ %</t>
  </si>
  <si>
    <t>QLDA79^</t>
  </si>
  <si>
    <t>^</t>
  </si>
  <si>
    <t>TT</t>
  </si>
  <si>
    <t>Loại công trình</t>
  </si>
  <si>
    <t>Chi phí xây dựng và chi phí thiết bị (chưa có thuế GTGT) (tỷ đồng)</t>
  </si>
  <si>
    <t>Giá trị</t>
  </si>
  <si>
    <t>Cận dưới</t>
  </si>
  <si>
    <t>Cận trên</t>
  </si>
  <si>
    <t>&lt;= 10</t>
  </si>
  <si>
    <t>Công trình dân dụng</t>
  </si>
  <si>
    <t>1,180</t>
  </si>
  <si>
    <t>0,912</t>
  </si>
  <si>
    <t>0,677</t>
  </si>
  <si>
    <t>0,486</t>
  </si>
  <si>
    <t>0,363</t>
  </si>
  <si>
    <t>0,290</t>
  </si>
  <si>
    <t>Công trình công nghiệp</t>
  </si>
  <si>
    <t>1,242</t>
  </si>
  <si>
    <t>1,071</t>
  </si>
  <si>
    <t>0,713</t>
  </si>
  <si>
    <t>0,512</t>
  </si>
  <si>
    <t>0,382</t>
  </si>
  <si>
    <t>0,305</t>
  </si>
  <si>
    <t>Công trình giao thông</t>
  </si>
  <si>
    <t>1,056</t>
  </si>
  <si>
    <t>0,910</t>
  </si>
  <si>
    <t>0,606</t>
  </si>
  <si>
    <t>0,435</t>
  </si>
  <si>
    <t>0,325</t>
  </si>
  <si>
    <t>0,260</t>
  </si>
  <si>
    <t>Công trình nông nghiệp và phát triển nông thôn</t>
  </si>
  <si>
    <t>1,118</t>
  </si>
  <si>
    <t>0,964</t>
  </si>
  <si>
    <t>0,642</t>
  </si>
  <si>
    <t>0,461</t>
  </si>
  <si>
    <t>0,344</t>
  </si>
  <si>
    <t>0,275</t>
  </si>
  <si>
    <t>Công trình hạ tầng kỹ thuật</t>
  </si>
  <si>
    <t>1,020</t>
  </si>
  <si>
    <t>0,856</t>
  </si>
  <si>
    <t>0,570</t>
  </si>
  <si>
    <t>0,409</t>
  </si>
  <si>
    <t>0,306</t>
  </si>
  <si>
    <t>0,245</t>
  </si>
  <si>
    <t>QLDA79$</t>
  </si>
  <si>
    <t>Bảng số 2: Định mức chi phí lập báo cáo nghiên cứu tiền khả thi</t>
  </si>
  <si>
    <t>NCTKT79^</t>
  </si>
  <si>
    <t>&lt;= 15</t>
  </si>
  <si>
    <t>0,503</t>
  </si>
  <si>
    <t>0,376</t>
  </si>
  <si>
    <t>0,240</t>
  </si>
  <si>
    <t>0,161</t>
  </si>
  <si>
    <t>0,100</t>
  </si>
  <si>
    <t>0,086</t>
  </si>
  <si>
    <t>0,073</t>
  </si>
  <si>
    <t>0,050</t>
  </si>
  <si>
    <t>0,040</t>
  </si>
  <si>
    <t>0,026</t>
  </si>
  <si>
    <t>0,022</t>
  </si>
  <si>
    <t>0,612</t>
  </si>
  <si>
    <t>0,441</t>
  </si>
  <si>
    <t>0,294</t>
  </si>
  <si>
    <t>0,206</t>
  </si>
  <si>
    <t>0,163</t>
  </si>
  <si>
    <t>0,141</t>
  </si>
  <si>
    <t>0,110</t>
  </si>
  <si>
    <t>0,074</t>
  </si>
  <si>
    <t>0,057</t>
  </si>
  <si>
    <t>0,034</t>
  </si>
  <si>
    <t>0,027</t>
  </si>
  <si>
    <t>0,345</t>
  </si>
  <si>
    <t>0,251</t>
  </si>
  <si>
    <t>0,177</t>
  </si>
  <si>
    <t>0,108</t>
  </si>
  <si>
    <t>0,071</t>
  </si>
  <si>
    <t>0,062</t>
  </si>
  <si>
    <t>0,053</t>
  </si>
  <si>
    <t>0,036</t>
  </si>
  <si>
    <t>0,029</t>
  </si>
  <si>
    <t>0,019</t>
  </si>
  <si>
    <t>0,016</t>
  </si>
  <si>
    <t>0,566</t>
  </si>
  <si>
    <t>0,472</t>
  </si>
  <si>
    <t>0,343</t>
  </si>
  <si>
    <t>0,216</t>
  </si>
  <si>
    <t>0,144</t>
  </si>
  <si>
    <t>0,096</t>
  </si>
  <si>
    <t>0,082</t>
  </si>
  <si>
    <t>0,070</t>
  </si>
  <si>
    <t>0,048</t>
  </si>
  <si>
    <t>0,039</t>
  </si>
  <si>
    <t>0,025</t>
  </si>
  <si>
    <t>0,021</t>
  </si>
  <si>
    <t>0,431</t>
  </si>
  <si>
    <t>0,360</t>
  </si>
  <si>
    <t>0,262</t>
  </si>
  <si>
    <t>0,183</t>
  </si>
  <si>
    <t>0,112</t>
  </si>
  <si>
    <t>0,065</t>
  </si>
  <si>
    <t>0,055</t>
  </si>
  <si>
    <t>0,038</t>
  </si>
  <si>
    <t>0,030</t>
  </si>
  <si>
    <t>0,020</t>
  </si>
  <si>
    <t>0,017</t>
  </si>
  <si>
    <t>NCTKT79$</t>
  </si>
  <si>
    <t>Bảng số 3: Định mức chi phí lập báo cáo nghiên cứu khả thi</t>
  </si>
  <si>
    <t>NCKT79^</t>
  </si>
  <si>
    <t>1,114</t>
  </si>
  <si>
    <t>0,914</t>
  </si>
  <si>
    <t>0,751</t>
  </si>
  <si>
    <t>0,534</t>
  </si>
  <si>
    <t>0,402</t>
  </si>
  <si>
    <t>0,287</t>
  </si>
  <si>
    <t>0,246</t>
  </si>
  <si>
    <t>0,209</t>
  </si>
  <si>
    <t>0,167</t>
  </si>
  <si>
    <t>0,134</t>
  </si>
  <si>
    <t>0,102</t>
  </si>
  <si>
    <t>1,261</t>
  </si>
  <si>
    <t>1,112</t>
  </si>
  <si>
    <t>0,882</t>
  </si>
  <si>
    <t>0,654</t>
  </si>
  <si>
    <t>0,515</t>
  </si>
  <si>
    <t>0,466</t>
  </si>
  <si>
    <t>0,404</t>
  </si>
  <si>
    <t>0,315</t>
  </si>
  <si>
    <t>0,248</t>
  </si>
  <si>
    <t>0,189</t>
  </si>
  <si>
    <t>0,135</t>
  </si>
  <si>
    <t>0,107</t>
  </si>
  <si>
    <t>0,689</t>
  </si>
  <si>
    <t>0,628</t>
  </si>
  <si>
    <t>0,501</t>
  </si>
  <si>
    <t>0,393</t>
  </si>
  <si>
    <t>0,271</t>
  </si>
  <si>
    <t>0,203</t>
  </si>
  <si>
    <t>0,151</t>
  </si>
  <si>
    <t>0,120</t>
  </si>
  <si>
    <t>0,097</t>
  </si>
  <si>
    <t>0,075</t>
  </si>
  <si>
    <t>0,063</t>
  </si>
  <si>
    <t>0,943</t>
  </si>
  <si>
    <t>0,858</t>
  </si>
  <si>
    <t>0,685</t>
  </si>
  <si>
    <t>0,48</t>
  </si>
  <si>
    <t>0,361</t>
  </si>
  <si>
    <t>0,273</t>
  </si>
  <si>
    <t>0,234</t>
  </si>
  <si>
    <t>0,201</t>
  </si>
  <si>
    <t>0,129</t>
  </si>
  <si>
    <t>0,084</t>
  </si>
  <si>
    <t>0,719</t>
  </si>
  <si>
    <t>0,524</t>
  </si>
  <si>
    <t>0,407</t>
  </si>
  <si>
    <t>0,280</t>
  </si>
  <si>
    <t>0,211</t>
  </si>
  <si>
    <t>0,185</t>
  </si>
  <si>
    <t>0,158</t>
  </si>
  <si>
    <t>0,127</t>
  </si>
  <si>
    <t>0,101</t>
  </si>
  <si>
    <t>0,078</t>
  </si>
  <si>
    <t>NCKT79$</t>
  </si>
  <si>
    <t>Bảng số 4: Định mức chi phí lập báo cáo kinh tế - kỹ thuật</t>
  </si>
  <si>
    <t>LBC79^</t>
  </si>
  <si>
    <t>&lt;= 1</t>
  </si>
  <si>
    <t>&lt; 15</t>
  </si>
  <si>
    <t>6,5</t>
  </si>
  <si>
    <t>4,7</t>
  </si>
  <si>
    <t>4,2</t>
  </si>
  <si>
    <t>3,6</t>
  </si>
  <si>
    <t>6,7</t>
  </si>
  <si>
    <t>4,8</t>
  </si>
  <si>
    <t>4,3</t>
  </si>
  <si>
    <t>3,8</t>
  </si>
  <si>
    <t>5,4</t>
  </si>
  <si>
    <t>2,7</t>
  </si>
  <si>
    <t>2,5</t>
  </si>
  <si>
    <t>6,2</t>
  </si>
  <si>
    <t>4,4</t>
  </si>
  <si>
    <t>3,9</t>
  </si>
  <si>
    <t>5,8</t>
  </si>
  <si>
    <t>3,4</t>
  </si>
  <si>
    <t>3,0</t>
  </si>
  <si>
    <t>LBC79$</t>
  </si>
  <si>
    <t>Bảng số 5-14: Định mức chi phí thiết kế kỹ thuật cho các loại công trình</t>
  </si>
  <si>
    <t>TKKT79^</t>
  </si>
  <si>
    <t>Loại công trình/
Loại thiết kế/
cấp công trình</t>
  </si>
  <si>
    <t>Chi phí xây dựng (chưa có thuế GTGT) (tỷ đồng)</t>
  </si>
  <si>
    <t>100</t>
  </si>
  <si>
    <t>200</t>
  </si>
  <si>
    <t>500</t>
  </si>
  <si>
    <t>1.000</t>
  </si>
  <si>
    <t>2.000</t>
  </si>
  <si>
    <t>5.000</t>
  </si>
  <si>
    <t>8.000</t>
  </si>
  <si>
    <t>10.000</t>
  </si>
  <si>
    <t>1.3</t>
  </si>
  <si>
    <t>Thiết kế 3 bước</t>
  </si>
  <si>
    <t>1.3.1</t>
  </si>
  <si>
    <t>Cấp đặc biệt</t>
  </si>
  <si>
    <t>3,22</t>
  </si>
  <si>
    <t>2,81</t>
  </si>
  <si>
    <t>2,36</t>
  </si>
  <si>
    <t>2,15</t>
  </si>
  <si>
    <t>1,96</t>
  </si>
  <si>
    <t>1,65</t>
  </si>
  <si>
    <t>1,36</t>
  </si>
  <si>
    <t>1,16</t>
  </si>
  <si>
    <t>0,89</t>
  </si>
  <si>
    <t>0,68</t>
  </si>
  <si>
    <t>0,61</t>
  </si>
  <si>
    <t>1.3.2</t>
  </si>
  <si>
    <t>Cấp I</t>
  </si>
  <si>
    <t>2,93</t>
  </si>
  <si>
    <t>2,55</t>
  </si>
  <si>
    <t>2,14</t>
  </si>
  <si>
    <t>1,94</t>
  </si>
  <si>
    <t>1,78</t>
  </si>
  <si>
    <t>1,50</t>
  </si>
  <si>
    <t>1,22</t>
  </si>
  <si>
    <t>1,05</t>
  </si>
  <si>
    <t>0,80</t>
  </si>
  <si>
    <t>0,55</t>
  </si>
  <si>
    <t>1.3.3</t>
  </si>
  <si>
    <t>Cấp II</t>
  </si>
  <si>
    <t>2,67</t>
  </si>
  <si>
    <t>2,33</t>
  </si>
  <si>
    <t>1,77</t>
  </si>
  <si>
    <t>1,62</t>
  </si>
  <si>
    <t>1,37</t>
  </si>
  <si>
    <t>1,11</t>
  </si>
  <si>
    <t>0,94</t>
  </si>
  <si>
    <t>0,73</t>
  </si>
  <si>
    <t>0,50</t>
  </si>
  <si>
    <t>1.3.4</t>
  </si>
  <si>
    <t>Cấp III</t>
  </si>
  <si>
    <t>2,07</t>
  </si>
  <si>
    <t>1,74</t>
  </si>
  <si>
    <t>1,57</t>
  </si>
  <si>
    <t>1,43</t>
  </si>
  <si>
    <t>1,21</t>
  </si>
  <si>
    <t>0,98</t>
  </si>
  <si>
    <t>0,83</t>
  </si>
  <si>
    <t>0,64</t>
  </si>
  <si>
    <t>0,44</t>
  </si>
  <si>
    <t>1.3.5</t>
  </si>
  <si>
    <t>Cấp IV</t>
  </si>
  <si>
    <t>1,81</t>
  </si>
  <si>
    <t>1,48</t>
  </si>
  <si>
    <t>1,30</t>
  </si>
  <si>
    <t>1,06</t>
  </si>
  <si>
    <t>-</t>
  </si>
  <si>
    <t>1.2</t>
  </si>
  <si>
    <t>Thiết kế 2 bước</t>
  </si>
  <si>
    <t>1.2.1</t>
  </si>
  <si>
    <t>4,66</t>
  </si>
  <si>
    <t>4,05</t>
  </si>
  <si>
    <t>3,41</t>
  </si>
  <si>
    <t>3,10</t>
  </si>
  <si>
    <t>2,83</t>
  </si>
  <si>
    <t>2,39</t>
  </si>
  <si>
    <t>1,93</t>
  </si>
  <si>
    <t>1,28</t>
  </si>
  <si>
    <t>0,99</t>
  </si>
  <si>
    <t>0,91</t>
  </si>
  <si>
    <t>1.2.2</t>
  </si>
  <si>
    <t>4,22</t>
  </si>
  <si>
    <t>3,66</t>
  </si>
  <si>
    <t>2,82</t>
  </si>
  <si>
    <t>2,57</t>
  </si>
  <si>
    <t>2,17</t>
  </si>
  <si>
    <t>1,76</t>
  </si>
  <si>
    <t>1,51</t>
  </si>
  <si>
    <t>0,90</t>
  </si>
  <si>
    <t>1.2.3</t>
  </si>
  <si>
    <t>3,85</t>
  </si>
  <si>
    <t>3,33</t>
  </si>
  <si>
    <t>2,80</t>
  </si>
  <si>
    <t>2,54</t>
  </si>
  <si>
    <t>2,34</t>
  </si>
  <si>
    <t>1,98</t>
  </si>
  <si>
    <t>1,61</t>
  </si>
  <si>
    <t>0,82</t>
  </si>
  <si>
    <t>0,72</t>
  </si>
  <si>
    <t>1.2.4</t>
  </si>
  <si>
    <t>2,95</t>
  </si>
  <si>
    <t>2,48</t>
  </si>
  <si>
    <t>2,25</t>
  </si>
  <si>
    <t>1,75</t>
  </si>
  <si>
    <t>1,20</t>
  </si>
  <si>
    <t>0,63</t>
  </si>
  <si>
    <t>1.2.5</t>
  </si>
  <si>
    <t>2,92</t>
  </si>
  <si>
    <t>2,12</t>
  </si>
  <si>
    <t>1,86</t>
  </si>
  <si>
    <t>2.3</t>
  </si>
  <si>
    <t>2.3.1</t>
  </si>
  <si>
    <t>2,96</t>
  </si>
  <si>
    <t>2,73</t>
  </si>
  <si>
    <t>2,13</t>
  </si>
  <si>
    <t>1,92</t>
  </si>
  <si>
    <t>1,54</t>
  </si>
  <si>
    <t>0,97</t>
  </si>
  <si>
    <t>0,79</t>
  </si>
  <si>
    <t>0,70</t>
  </si>
  <si>
    <t>2.3.2</t>
  </si>
  <si>
    <t>2,47</t>
  </si>
  <si>
    <t>2,27</t>
  </si>
  <si>
    <t>1,60</t>
  </si>
  <si>
    <t>1,46</t>
  </si>
  <si>
    <t>1,09</t>
  </si>
  <si>
    <t>0,65</t>
  </si>
  <si>
    <t>0,58</t>
  </si>
  <si>
    <t>2.3.3</t>
  </si>
  <si>
    <t>2,03</t>
  </si>
  <si>
    <t>1,59</t>
  </si>
  <si>
    <t>1,32</t>
  </si>
  <si>
    <t>0,66</t>
  </si>
  <si>
    <t>0,53</t>
  </si>
  <si>
    <t>2.3.4</t>
  </si>
  <si>
    <t>1,40</t>
  </si>
  <si>
    <t>1,27</t>
  </si>
  <si>
    <t>1,17</t>
  </si>
  <si>
    <t>0,93</t>
  </si>
  <si>
    <t>0,47</t>
  </si>
  <si>
    <t>0,42</t>
  </si>
  <si>
    <t>2.3.5</t>
  </si>
  <si>
    <t>1,47</t>
  </si>
  <si>
    <t>1,24</t>
  </si>
  <si>
    <t>1,14</t>
  </si>
  <si>
    <t>2.2</t>
  </si>
  <si>
    <t>2.2.1</t>
  </si>
  <si>
    <t>4,70</t>
  </si>
  <si>
    <t>4,27</t>
  </si>
  <si>
    <t>3,32</t>
  </si>
  <si>
    <t>3,01</t>
  </si>
  <si>
    <t>2,75</t>
  </si>
  <si>
    <t>2,40</t>
  </si>
  <si>
    <t>1,52</t>
  </si>
  <si>
    <t>1,04</t>
  </si>
  <si>
    <t>2.2.2</t>
  </si>
  <si>
    <t>3,87</t>
  </si>
  <si>
    <t>3,57</t>
  </si>
  <si>
    <t>3,02</t>
  </si>
  <si>
    <t>2,77</t>
  </si>
  <si>
    <t>2,50</t>
  </si>
  <si>
    <t>2,28</t>
  </si>
  <si>
    <t>2,01</t>
  </si>
  <si>
    <t>1,70</t>
  </si>
  <si>
    <t>1,26</t>
  </si>
  <si>
    <t>1,02</t>
  </si>
  <si>
    <t>0,88</t>
  </si>
  <si>
    <t>2.2.3</t>
  </si>
  <si>
    <t>3,13</t>
  </si>
  <si>
    <t>2,90</t>
  </si>
  <si>
    <t>2,43</t>
  </si>
  <si>
    <t>2,24</t>
  </si>
  <si>
    <t>1,90</t>
  </si>
  <si>
    <t>1,66</t>
  </si>
  <si>
    <t>1,42</t>
  </si>
  <si>
    <t>2.2.4</t>
  </si>
  <si>
    <t>2,78</t>
  </si>
  <si>
    <t>2,16</t>
  </si>
  <si>
    <t>1,99</t>
  </si>
  <si>
    <t>1,79</t>
  </si>
  <si>
    <t>1,68</t>
  </si>
  <si>
    <t>1,25</t>
  </si>
  <si>
    <t>2.2.5</t>
  </si>
  <si>
    <t>2,46</t>
  </si>
  <si>
    <t>1,89</t>
  </si>
  <si>
    <t>1,72</t>
  </si>
  <si>
    <t>3.3</t>
  </si>
  <si>
    <t>3.3.1</t>
  </si>
  <si>
    <t>2,05</t>
  </si>
  <si>
    <t>1,08</t>
  </si>
  <si>
    <t>0,92</t>
  </si>
  <si>
    <t>0,51</t>
  </si>
  <si>
    <t>0,45</t>
  </si>
  <si>
    <t>3.3.2</t>
  </si>
  <si>
    <t>1,44</t>
  </si>
  <si>
    <t>1,39</t>
  </si>
  <si>
    <t>1,13</t>
  </si>
  <si>
    <t>0,95</t>
  </si>
  <si>
    <t>0,81</t>
  </si>
  <si>
    <t>0,34</t>
  </si>
  <si>
    <t>0,28</t>
  </si>
  <si>
    <t>3.3.3</t>
  </si>
  <si>
    <t>1,19</t>
  </si>
  <si>
    <t>0,84</t>
  </si>
  <si>
    <t>0,77</t>
  </si>
  <si>
    <t>0,60</t>
  </si>
  <si>
    <t>0,39</t>
  </si>
  <si>
    <t>0,29</t>
  </si>
  <si>
    <t>0,25</t>
  </si>
  <si>
    <t>3.3.4</t>
  </si>
  <si>
    <t>0,74</t>
  </si>
  <si>
    <t>0,43</t>
  </si>
  <si>
    <t>0,32</t>
  </si>
  <si>
    <t>0,21</t>
  </si>
  <si>
    <t>3.3.5</t>
  </si>
  <si>
    <t>0,87</t>
  </si>
  <si>
    <t>0,76</t>
  </si>
  <si>
    <t>0,69</t>
  </si>
  <si>
    <t>0,59</t>
  </si>
  <si>
    <t>0,49</t>
  </si>
  <si>
    <t>3.2</t>
  </si>
  <si>
    <t>3.2.1</t>
  </si>
  <si>
    <t>2,76</t>
  </si>
  <si>
    <t>1,95</t>
  </si>
  <si>
    <t>0,75</t>
  </si>
  <si>
    <t>3.2.2</t>
  </si>
  <si>
    <t>1,83</t>
  </si>
  <si>
    <t>1,67</t>
  </si>
  <si>
    <t>1,38</t>
  </si>
  <si>
    <t>1,03</t>
  </si>
  <si>
    <t>3.2.3</t>
  </si>
  <si>
    <t>1,55</t>
  </si>
  <si>
    <t>1,10</t>
  </si>
  <si>
    <t>1,01</t>
  </si>
  <si>
    <t>0,85</t>
  </si>
  <si>
    <t>0,56</t>
  </si>
  <si>
    <t>0,36</t>
  </si>
  <si>
    <t>3.2.4</t>
  </si>
  <si>
    <t>0,7</t>
  </si>
  <si>
    <t>0,33</t>
  </si>
  <si>
    <t>3.2.5</t>
  </si>
  <si>
    <t>0,71</t>
  </si>
  <si>
    <t>4.3</t>
  </si>
  <si>
    <t>4.3.1</t>
  </si>
  <si>
    <t>2,98</t>
  </si>
  <si>
    <t>2,60</t>
  </si>
  <si>
    <t>2,20</t>
  </si>
  <si>
    <t>4.3.2</t>
  </si>
  <si>
    <t>2,70</t>
  </si>
  <si>
    <t>0,52</t>
  </si>
  <si>
    <t>4.3.3</t>
  </si>
  <si>
    <t>1,80</t>
  </si>
  <si>
    <t>0,67</t>
  </si>
  <si>
    <t>4.3.4</t>
  </si>
  <si>
    <t>0,37</t>
  </si>
  <si>
    <t>4.3.5</t>
  </si>
  <si>
    <t>1,12</t>
  </si>
  <si>
    <t>4.2</t>
  </si>
  <si>
    <t>4.2.1</t>
  </si>
  <si>
    <t>4,29</t>
  </si>
  <si>
    <t>3,75</t>
  </si>
  <si>
    <t>3,17</t>
  </si>
  <si>
    <t>2,85</t>
  </si>
  <si>
    <t>2,21</t>
  </si>
  <si>
    <t>1,87</t>
  </si>
  <si>
    <t>1,58</t>
  </si>
  <si>
    <t>4.2.2</t>
  </si>
  <si>
    <t>3,89</t>
  </si>
  <si>
    <t>3,40</t>
  </si>
  <si>
    <t>2,87</t>
  </si>
  <si>
    <t>2,00</t>
  </si>
  <si>
    <t>1,69</t>
  </si>
  <si>
    <t>4.2.3</t>
  </si>
  <si>
    <t>3,53</t>
  </si>
  <si>
    <t>3,11</t>
  </si>
  <si>
    <t>2,62</t>
  </si>
  <si>
    <t>1,73</t>
  </si>
  <si>
    <t>0,96</t>
  </si>
  <si>
    <t>4.2.4</t>
  </si>
  <si>
    <t>2,31</t>
  </si>
  <si>
    <t>1,29</t>
  </si>
  <si>
    <t>4.2.5</t>
  </si>
  <si>
    <t>2,19</t>
  </si>
  <si>
    <t>1,82</t>
  </si>
  <si>
    <t>1,41</t>
  </si>
  <si>
    <t>“</t>
  </si>
  <si>
    <t>5.3</t>
  </si>
  <si>
    <t>5.3.1</t>
  </si>
  <si>
    <t>2,22</t>
  </si>
  <si>
    <t>1,63</t>
  </si>
  <si>
    <t>5.3.2</t>
  </si>
  <si>
    <t>2,09</t>
  </si>
  <si>
    <t>1,53</t>
  </si>
  <si>
    <t>5.3.3</t>
  </si>
  <si>
    <t>0,78</t>
  </si>
  <si>
    <t>5.3.4</t>
  </si>
  <si>
    <t>1,07</t>
  </si>
  <si>
    <t>0,41</t>
  </si>
  <si>
    <t>5.3.5</t>
  </si>
  <si>
    <t>1,45</t>
  </si>
  <si>
    <t>1,23</t>
  </si>
  <si>
    <t>5.2</t>
  </si>
  <si>
    <t>5.2.1</t>
  </si>
  <si>
    <t>3,23</t>
  </si>
  <si>
    <t>2,79</t>
  </si>
  <si>
    <t>2,35</t>
  </si>
  <si>
    <t>1,64</t>
  </si>
  <si>
    <t>5.2.2</t>
  </si>
  <si>
    <t>2,63</t>
  </si>
  <si>
    <t>1,49</t>
  </si>
  <si>
    <t>5.2.3</t>
  </si>
  <si>
    <t>2,68</t>
  </si>
  <si>
    <t>1,97</t>
  </si>
  <si>
    <t>5.2.4</t>
  </si>
  <si>
    <t>5.2.5</t>
  </si>
  <si>
    <t>1,35</t>
  </si>
  <si>
    <t>1,15</t>
  </si>
  <si>
    <t>TKKT79$</t>
  </si>
  <si>
    <t>Bảng số 15: Định mức chi phí thẩm tra báo cáo nghiên cứu tiền khả thi</t>
  </si>
  <si>
    <t>TTTKT79^</t>
  </si>
  <si>
    <t>Chi phí xây dựng và thiết bị (chưa có thuế GTGT) (tỷ đồng)</t>
  </si>
  <si>
    <t>0,059</t>
  </si>
  <si>
    <t>0,014</t>
  </si>
  <si>
    <t>0,012</t>
  </si>
  <si>
    <t>0,009</t>
  </si>
  <si>
    <t>0,007</t>
  </si>
  <si>
    <t>0,005</t>
  </si>
  <si>
    <t>0,004</t>
  </si>
  <si>
    <t>0,098</t>
  </si>
  <si>
    <t>0,083</t>
  </si>
  <si>
    <t>0,067</t>
  </si>
  <si>
    <t>0,049</t>
  </si>
  <si>
    <t>0,037</t>
  </si>
  <si>
    <t>0,028</t>
  </si>
  <si>
    <t>0,015</t>
  </si>
  <si>
    <t>0,010</t>
  </si>
  <si>
    <t>0,054</t>
  </si>
  <si>
    <t>0,013</t>
  </si>
  <si>
    <t>0,011</t>
  </si>
  <si>
    <t>0,003</t>
  </si>
  <si>
    <t>0,064</t>
  </si>
  <si>
    <t>0,058</t>
  </si>
  <si>
    <t>0,047</t>
  </si>
  <si>
    <t>0,033</t>
  </si>
  <si>
    <t>0,024</t>
  </si>
  <si>
    <t>0,006</t>
  </si>
  <si>
    <t>0,056</t>
  </si>
  <si>
    <t>0,051</t>
  </si>
  <si>
    <t>0,041</t>
  </si>
  <si>
    <t>0,032</t>
  </si>
  <si>
    <t>0,008</t>
  </si>
  <si>
    <t>TTTKT79$</t>
  </si>
  <si>
    <t>Bảng số 16: Định mức chi phí thẩm tra báo cáo nghiên cứu khả thi</t>
  </si>
  <si>
    <t>TTKT79^</t>
  </si>
  <si>
    <t>0,204</t>
  </si>
  <si>
    <t>0,168</t>
  </si>
  <si>
    <t>0,138</t>
  </si>
  <si>
    <t>0,046</t>
  </si>
  <si>
    <t>0,281</t>
  </si>
  <si>
    <t>0,238</t>
  </si>
  <si>
    <t>0,190</t>
  </si>
  <si>
    <t>0,080</t>
  </si>
  <si>
    <t>0,044</t>
  </si>
  <si>
    <t>0,153</t>
  </si>
  <si>
    <t>0,139</t>
  </si>
  <si>
    <t>0,087</t>
  </si>
  <si>
    <t>0,182</t>
  </si>
  <si>
    <t>0,133</t>
  </si>
  <si>
    <t>0,094</t>
  </si>
  <si>
    <t>0,068</t>
  </si>
  <si>
    <t>0,160</t>
  </si>
  <si>
    <t>0,145</t>
  </si>
  <si>
    <t>0,116</t>
  </si>
  <si>
    <t>0,092</t>
  </si>
  <si>
    <t>0,060</t>
  </si>
  <si>
    <t>TTKT79$</t>
  </si>
  <si>
    <t>Bảng số 17: Định mức chi phí thẩm tra thiết kế xây dựng</t>
  </si>
  <si>
    <t>TTTKXD79^</t>
  </si>
  <si>
    <t>Chi phí xây dựng (chưa có thuế GTGT) trong tổng mức đầu tư được duyệt hoặc giá gói thầu được duyệt (tỷ đồng)</t>
  </si>
  <si>
    <t>0,258</t>
  </si>
  <si>
    <t>0,223</t>
  </si>
  <si>
    <t>0,172</t>
  </si>
  <si>
    <t>0,143</t>
  </si>
  <si>
    <t>0,252</t>
  </si>
  <si>
    <t>0,192</t>
  </si>
  <si>
    <t>0,146</t>
  </si>
  <si>
    <t>0,113</t>
  </si>
  <si>
    <t>0,066</t>
  </si>
  <si>
    <t>0,031</t>
  </si>
  <si>
    <t>0,170</t>
  </si>
  <si>
    <t>0,147</t>
  </si>
  <si>
    <t>0,042</t>
  </si>
  <si>
    <t>0,035</t>
  </si>
  <si>
    <t>0,125</t>
  </si>
  <si>
    <t>0,093</t>
  </si>
  <si>
    <t>0,043</t>
  </si>
  <si>
    <t>0,197</t>
  </si>
  <si>
    <t>0,099</t>
  </si>
  <si>
    <t>0,076</t>
  </si>
  <si>
    <t>0,04</t>
  </si>
  <si>
    <t>TTTKXD79$</t>
  </si>
  <si>
    <t>Bảng số 18: Định mức chi phí thẩm tra dự toán xây dựng</t>
  </si>
  <si>
    <t>TTDT79^</t>
  </si>
  <si>
    <t>0,250</t>
  </si>
  <si>
    <t>0,219</t>
  </si>
  <si>
    <t>0,166</t>
  </si>
  <si>
    <t>0,140</t>
  </si>
  <si>
    <t>0,105</t>
  </si>
  <si>
    <t>0,077</t>
  </si>
  <si>
    <t>0,282</t>
  </si>
  <si>
    <t>0,244</t>
  </si>
  <si>
    <t>0,142</t>
  </si>
  <si>
    <t>0,106</t>
  </si>
  <si>
    <t>0,069</t>
  </si>
  <si>
    <t>0,052</t>
  </si>
  <si>
    <t>0,018</t>
  </si>
  <si>
    <t>0,119</t>
  </si>
  <si>
    <t>0,191</t>
  </si>
  <si>
    <t>0,128</t>
  </si>
  <si>
    <t>0,095</t>
  </si>
  <si>
    <t>0,072</t>
  </si>
  <si>
    <t>TTDT79$</t>
  </si>
  <si>
    <t>Bảng số 20: Định mức chi phí lập hồ sơ mời thầu, đánh giá hồ sơ dự thầu thi công xây dựng</t>
  </si>
  <si>
    <t>LXL79^</t>
  </si>
  <si>
    <t>Chi phí xây dựng (chưa có thuế GTGT) của giá gói thầu được duyệt (tỷ đồng)</t>
  </si>
  <si>
    <t>0,432</t>
  </si>
  <si>
    <t>0,346</t>
  </si>
  <si>
    <t>0,195</t>
  </si>
  <si>
    <t>0,549</t>
  </si>
  <si>
    <t>0,379</t>
  </si>
  <si>
    <t>0,237</t>
  </si>
  <si>
    <t>0,09</t>
  </si>
  <si>
    <t>0,023</t>
  </si>
  <si>
    <t>0,302</t>
  </si>
  <si>
    <t>0,388</t>
  </si>
  <si>
    <t>LXL79$</t>
  </si>
  <si>
    <t>Bảng số 21: Định mức chi phí lập hồ sơ mời thầu, đánh giá hồ sơ dự thầu mua sắm vật tư, thiết bị</t>
  </si>
  <si>
    <t>LTB79^</t>
  </si>
  <si>
    <t>Chi phí vật tư, thiết bị (chưa có thuế GTGT) của giá gói thầu được duyệt (tỷ đồng)</t>
  </si>
  <si>
    <t>0,367</t>
  </si>
  <si>
    <t>0,181</t>
  </si>
  <si>
    <t>0,081</t>
  </si>
  <si>
    <t>0,494</t>
  </si>
  <si>
    <t>0,152</t>
  </si>
  <si>
    <t>0,123</t>
  </si>
  <si>
    <t>0,261</t>
  </si>
  <si>
    <t>0,230</t>
  </si>
  <si>
    <t>0,131</t>
  </si>
  <si>
    <t>0,090</t>
  </si>
  <si>
    <t>0,061</t>
  </si>
  <si>
    <t>0,156</t>
  </si>
  <si>
    <t>LTB79$</t>
  </si>
  <si>
    <t>Bảng số 22: Định mức chi phí giám sát thi công xây dựng</t>
  </si>
  <si>
    <t>GSTC79^</t>
  </si>
  <si>
    <t>Chi phí xây dựng (chưa có thuế GTGT) của giá gói thầu thi công xây dựng được duyệt (tỷ đồng)</t>
  </si>
  <si>
    <t>3,285</t>
  </si>
  <si>
    <t>2,853</t>
  </si>
  <si>
    <t>2,435</t>
  </si>
  <si>
    <t>1,845</t>
  </si>
  <si>
    <t>1,546</t>
  </si>
  <si>
    <t>1,188</t>
  </si>
  <si>
    <t>0,797</t>
  </si>
  <si>
    <t>0,694</t>
  </si>
  <si>
    <t>0,620</t>
  </si>
  <si>
    <t>0,530</t>
  </si>
  <si>
    <t>0,478</t>
  </si>
  <si>
    <t>3,508</t>
  </si>
  <si>
    <t>3,137</t>
  </si>
  <si>
    <t>2,559</t>
  </si>
  <si>
    <t>2,074</t>
  </si>
  <si>
    <t>1,604</t>
  </si>
  <si>
    <t>1,301</t>
  </si>
  <si>
    <t>0,823</t>
  </si>
  <si>
    <t>0,716</t>
  </si>
  <si>
    <t>0,640</t>
  </si>
  <si>
    <t>0,550</t>
  </si>
  <si>
    <t>0,493</t>
  </si>
  <si>
    <t>3,203</t>
  </si>
  <si>
    <t>2,700</t>
  </si>
  <si>
    <t>2,356</t>
  </si>
  <si>
    <t>1,714</t>
  </si>
  <si>
    <t>1,272</t>
  </si>
  <si>
    <t>1,003</t>
  </si>
  <si>
    <t>0,731</t>
  </si>
  <si>
    <t>0,636</t>
  </si>
  <si>
    <t>0,480</t>
  </si>
  <si>
    <t>0,438</t>
  </si>
  <si>
    <t>2,598</t>
  </si>
  <si>
    <t>2,292</t>
  </si>
  <si>
    <t>2,075</t>
  </si>
  <si>
    <t>1,545</t>
  </si>
  <si>
    <t>1,189</t>
  </si>
  <si>
    <t>0,950</t>
  </si>
  <si>
    <t>0,631</t>
  </si>
  <si>
    <t>0,490</t>
  </si>
  <si>
    <t>0,420</t>
  </si>
  <si>
    <t>0,378</t>
  </si>
  <si>
    <t>2,566</t>
  </si>
  <si>
    <t>2,2 56</t>
  </si>
  <si>
    <t>1,984</t>
  </si>
  <si>
    <t>1,461</t>
  </si>
  <si>
    <t>1,142</t>
  </si>
  <si>
    <t>0,584</t>
  </si>
  <si>
    <t>0,509</t>
  </si>
  <si>
    <t>0,452</t>
  </si>
  <si>
    <t>0,390</t>
  </si>
  <si>
    <t>0,350</t>
  </si>
  <si>
    <t>GSTC79$</t>
  </si>
  <si>
    <t>Bảng số 23: Định mức chi phí giám sát lắp đặt thiết bị</t>
  </si>
  <si>
    <t>GSLD79^</t>
  </si>
  <si>
    <t>Chi phí thiết bị (chưa có thuế GTGT) của giá gói thầu mua sắm vật tư, thiết bị lắp đặt vào công trình được duyệt (tỷ đồng)</t>
  </si>
  <si>
    <t>0,844</t>
  </si>
  <si>
    <t>0,715</t>
  </si>
  <si>
    <t>0,596</t>
  </si>
  <si>
    <t>0,394</t>
  </si>
  <si>
    <t>0,176</t>
  </si>
  <si>
    <t>0,132</t>
  </si>
  <si>
    <t>1,147</t>
  </si>
  <si>
    <t>1,005</t>
  </si>
  <si>
    <t>0,958</t>
  </si>
  <si>
    <t>0,811</t>
  </si>
  <si>
    <t>0,422</t>
  </si>
  <si>
    <t>0,356</t>
  </si>
  <si>
    <t>0,309</t>
  </si>
  <si>
    <t>0,270</t>
  </si>
  <si>
    <t>0,210</t>
  </si>
  <si>
    <t>0,580</t>
  </si>
  <si>
    <t>0,320</t>
  </si>
  <si>
    <t>0,217</t>
  </si>
  <si>
    <t>0,085</t>
  </si>
  <si>
    <t>0,718</t>
  </si>
  <si>
    <t>0,585</t>
  </si>
  <si>
    <t>0,520</t>
  </si>
  <si>
    <t>0,276</t>
  </si>
  <si>
    <t>0,232</t>
  </si>
  <si>
    <t>0,159</t>
  </si>
  <si>
    <t>0,091</t>
  </si>
  <si>
    <t>0,803</t>
  </si>
  <si>
    <t>0,690</t>
  </si>
  <si>
    <t>0,575</t>
  </si>
  <si>
    <t>0,383</t>
  </si>
  <si>
    <t>0,300</t>
  </si>
  <si>
    <t>0,173</t>
  </si>
  <si>
    <t>0,150</t>
  </si>
  <si>
    <t>0,126</t>
  </si>
  <si>
    <t>GSLD79$</t>
  </si>
  <si>
    <t>HÊ SỐ CÔNG TRÌNHNHẬP VÀO Ô VÀNG</t>
  </si>
  <si>
    <t xml:space="preserve">HỆ SỐ TKKT HỒ SƠ 2 BƯỚC CT dân dụng </t>
  </si>
  <si>
    <t>THẨM TRA</t>
  </si>
  <si>
    <t>KiỂM TOÁN</t>
  </si>
  <si>
    <t>PHÍ PHÍ THẨM TRA, PHÊ DUYỆT, KIỂM TOÁN- 09/2016/TT-BTC</t>
  </si>
  <si>
    <t>Lệ phí thẩm duyệt PCCC - TT 258/2016</t>
  </si>
  <si>
    <t>Chi phí lập HSMT, đánh giá HSDT thiết bị</t>
  </si>
  <si>
    <t>Chi phí lập báo cáo nghiên cứu tiền khả thi</t>
  </si>
  <si>
    <t>Chi phí thẩm tra báo cáo nghiên cứu tiền khả thi</t>
  </si>
  <si>
    <t>hệ số nghiên cứu tiền khả thi</t>
  </si>
  <si>
    <t xml:space="preserve">Dự án quan trọng quốc gia </t>
  </si>
  <si>
    <t>Dự án của công trình bình thường</t>
  </si>
  <si>
    <t>Hệ số K</t>
  </si>
  <si>
    <t>Dự án cải tạo, sửa chữa, mở rộng có tính toán kết nối với công trình hiện có</t>
  </si>
  <si>
    <t>Dự án đầu tư gồm nhiều công trình riêng biệt được xây dựng trên địa bàn từ hai tỉnh trở lên</t>
  </si>
  <si>
    <t>Sử dụng thiết kế mẫu, thiết kế điển hình do cơ quan có thẩm quyền ban hành</t>
  </si>
  <si>
    <t xml:space="preserve"> Sử dụng thiết kế lặp lại hoặc sử dụng lại thiết kế</t>
  </si>
  <si>
    <t>Dự án của công trình xây mới , bình thường</t>
  </si>
  <si>
    <t>BẢNG SỐ 24 : CHI PHí GIÁM SÁT KHẢO SÁT</t>
  </si>
  <si>
    <t>nd</t>
  </si>
  <si>
    <t>GS khảo sát</t>
  </si>
  <si>
    <t xml:space="preserve">Chi phí giám sát khảo sát </t>
  </si>
  <si>
    <t>hệ số định mực chi phí quản lí dự án</t>
  </si>
  <si>
    <t xml:space="preserve">CDT sd bộ máy chuyên môn trực thuộc có đủ điều kiện để QLDA </t>
  </si>
  <si>
    <t>Dự án xây đựng trên biển đảo/chạy dài theo tuyến biên giới đất liền/vùng có điều kiện kinh tế xã hội đặc biệt khó khăn</t>
  </si>
  <si>
    <t>Dự án chạy dài theo tuyến biên giới đất liền từ 2 tỉnh trở lên/ xây dựng trên nhiều tỉnh khác nhau</t>
  </si>
  <si>
    <t>Dự án  có chi phí thiết bị &gt;= 50% ( chi phí xd + chi phí thiết bị )</t>
  </si>
  <si>
    <t>119/QĐ-SXD ngày 18/10/2016 của Sở Xây dựng tỉnh Bình Thuận. (Chỉ số giá xây dựng tháng 9 và quý III năm 2016);</t>
  </si>
  <si>
    <t>Chi phí giám sát khảo sát</t>
  </si>
  <si>
    <t>TT 209/2016/TT-BTC</t>
  </si>
  <si>
    <t>Chi phí lập báo cáo nghiên cứu khả thi (DADT)</t>
  </si>
  <si>
    <t>Chi phí thẩm tra báo cáo nghiên cứu  khả thi (DADT)</t>
  </si>
  <si>
    <r>
      <t>T</t>
    </r>
    <r>
      <rPr>
        <vertAlign val="subscript"/>
        <sz val="11"/>
        <rFont val="Times New Roman"/>
        <family val="1"/>
      </rPr>
      <t>4</t>
    </r>
  </si>
  <si>
    <r>
      <t>T</t>
    </r>
    <r>
      <rPr>
        <vertAlign val="subscript"/>
        <sz val="11"/>
        <rFont val="Times New Roman"/>
        <family val="1"/>
      </rPr>
      <t>5</t>
    </r>
  </si>
  <si>
    <r>
      <t>T</t>
    </r>
    <r>
      <rPr>
        <vertAlign val="subscript"/>
        <sz val="11"/>
        <rFont val="Times New Roman"/>
        <family val="1"/>
      </rPr>
      <t>6</t>
    </r>
  </si>
  <si>
    <r>
      <t>T</t>
    </r>
    <r>
      <rPr>
        <vertAlign val="subscript"/>
        <sz val="11"/>
        <rFont val="Times New Roman"/>
        <family val="1"/>
      </rPr>
      <t>7</t>
    </r>
  </si>
  <si>
    <r>
      <t>K</t>
    </r>
    <r>
      <rPr>
        <vertAlign val="subscript"/>
        <sz val="11"/>
        <rFont val="Times New Roman"/>
        <family val="1"/>
      </rPr>
      <t>3</t>
    </r>
  </si>
  <si>
    <r>
      <t>T</t>
    </r>
    <r>
      <rPr>
        <vertAlign val="subscript"/>
        <sz val="11"/>
        <rFont val="Times New Roman"/>
        <family val="1"/>
      </rPr>
      <t>8</t>
    </r>
  </si>
  <si>
    <r>
      <t>T</t>
    </r>
    <r>
      <rPr>
        <vertAlign val="subscript"/>
        <sz val="11"/>
        <rFont val="Times New Roman"/>
        <family val="1"/>
      </rPr>
      <t>9</t>
    </r>
  </si>
  <si>
    <r>
      <t>T</t>
    </r>
    <r>
      <rPr>
        <vertAlign val="subscript"/>
        <sz val="11"/>
        <rFont val="Times New Roman"/>
        <family val="1"/>
      </rPr>
      <t>10</t>
    </r>
  </si>
  <si>
    <r>
      <t>T</t>
    </r>
    <r>
      <rPr>
        <vertAlign val="subscript"/>
        <sz val="11"/>
        <rFont val="Times New Roman"/>
        <family val="1"/>
      </rPr>
      <t>11</t>
    </r>
  </si>
  <si>
    <r>
      <t>T</t>
    </r>
    <r>
      <rPr>
        <vertAlign val="subscript"/>
        <sz val="11"/>
        <rFont val="Times New Roman"/>
        <family val="1"/>
      </rPr>
      <t>12</t>
    </r>
  </si>
  <si>
    <r>
      <t>T</t>
    </r>
    <r>
      <rPr>
        <vertAlign val="subscript"/>
        <sz val="11"/>
        <rFont val="Times New Roman"/>
        <family val="1"/>
      </rPr>
      <t>13</t>
    </r>
  </si>
  <si>
    <r>
      <t>T</t>
    </r>
    <r>
      <rPr>
        <vertAlign val="subscript"/>
        <sz val="11"/>
        <rFont val="Times New Roman"/>
        <family val="1"/>
      </rPr>
      <t>14</t>
    </r>
  </si>
  <si>
    <t>Tạm tính</t>
  </si>
  <si>
    <t>Chi phí đấu nối điện nước</t>
  </si>
  <si>
    <t>Chi phí lập HSMT thiết kế + dự toán</t>
  </si>
  <si>
    <t>Chi phí thẩm định HSMT thiết kế + dự toán</t>
  </si>
  <si>
    <t>Chi phí thẩm định KQ lựa chọn nhà thầu thiết kế + dự toán</t>
  </si>
  <si>
    <t>Chi phí lập HSMT giám sát thi công xây dựng</t>
  </si>
  <si>
    <t>Chi phí thẩm định HSMT giám sát thi công xây dựng</t>
  </si>
  <si>
    <t>Chi phí thẩm định KQ lựa chọn nhà thầu giám sát thi công xây dựng</t>
  </si>
  <si>
    <t>Chi phí thẩm định DADT</t>
  </si>
  <si>
    <r>
      <t>K</t>
    </r>
    <r>
      <rPr>
        <vertAlign val="subscript"/>
        <sz val="11"/>
        <rFont val="Times New Roman"/>
        <family val="1"/>
      </rPr>
      <t>2</t>
    </r>
  </si>
  <si>
    <r>
      <t>K</t>
    </r>
    <r>
      <rPr>
        <vertAlign val="subscript"/>
        <sz val="11"/>
        <rFont val="Times New Roman"/>
        <family val="1"/>
      </rPr>
      <t>4</t>
    </r>
  </si>
  <si>
    <r>
      <t>K</t>
    </r>
    <r>
      <rPr>
        <vertAlign val="subscript"/>
        <sz val="11"/>
        <rFont val="Times New Roman"/>
        <family val="1"/>
      </rPr>
      <t>6</t>
    </r>
  </si>
  <si>
    <r>
      <t>K</t>
    </r>
    <r>
      <rPr>
        <vertAlign val="subscript"/>
        <sz val="11"/>
        <rFont val="Times New Roman"/>
        <family val="1"/>
      </rPr>
      <t>7</t>
    </r>
  </si>
  <si>
    <r>
      <t>K</t>
    </r>
    <r>
      <rPr>
        <vertAlign val="subscript"/>
        <sz val="11"/>
        <rFont val="Times New Roman"/>
        <family val="1"/>
      </rPr>
      <t>8</t>
    </r>
  </si>
  <si>
    <r>
      <t>K</t>
    </r>
    <r>
      <rPr>
        <vertAlign val="subscript"/>
        <sz val="11"/>
        <rFont val="Times New Roman"/>
        <family val="1"/>
      </rPr>
      <t>9</t>
    </r>
  </si>
  <si>
    <t>Chi phí thẩm định KQ lựa chọn nhà thầu thiết bị</t>
  </si>
  <si>
    <r>
      <t>T</t>
    </r>
    <r>
      <rPr>
        <vertAlign val="subscript"/>
        <sz val="11"/>
        <rFont val="Times New Roman"/>
        <family val="1"/>
      </rPr>
      <t>15</t>
    </r>
  </si>
  <si>
    <r>
      <t>T</t>
    </r>
    <r>
      <rPr>
        <vertAlign val="subscript"/>
        <sz val="11"/>
        <rFont val="Times New Roman"/>
        <family val="1"/>
      </rPr>
      <t>16</t>
    </r>
  </si>
  <si>
    <r>
      <t>T</t>
    </r>
    <r>
      <rPr>
        <vertAlign val="subscript"/>
        <sz val="11"/>
        <rFont val="Times New Roman"/>
        <family val="1"/>
      </rPr>
      <t>17</t>
    </r>
  </si>
  <si>
    <r>
      <t>T</t>
    </r>
    <r>
      <rPr>
        <vertAlign val="subscript"/>
        <sz val="11"/>
        <rFont val="Times New Roman"/>
        <family val="1"/>
      </rPr>
      <t>18</t>
    </r>
  </si>
  <si>
    <r>
      <t>T</t>
    </r>
    <r>
      <rPr>
        <vertAlign val="subscript"/>
        <sz val="11"/>
        <rFont val="Times New Roman"/>
        <family val="1"/>
      </rPr>
      <t>20</t>
    </r>
  </si>
  <si>
    <r>
      <t>T</t>
    </r>
    <r>
      <rPr>
        <vertAlign val="subscript"/>
        <sz val="11"/>
        <rFont val="Times New Roman"/>
        <family val="1"/>
      </rPr>
      <t>21</t>
    </r>
  </si>
  <si>
    <r>
      <t>T</t>
    </r>
    <r>
      <rPr>
        <vertAlign val="subscript"/>
        <sz val="11"/>
        <rFont val="Times New Roman"/>
        <family val="1"/>
      </rPr>
      <t>22</t>
    </r>
  </si>
  <si>
    <r>
      <t>T</t>
    </r>
    <r>
      <rPr>
        <vertAlign val="subscript"/>
        <sz val="11"/>
        <rFont val="Times New Roman"/>
        <family val="1"/>
      </rPr>
      <t>24</t>
    </r>
  </si>
  <si>
    <r>
      <t>T</t>
    </r>
    <r>
      <rPr>
        <vertAlign val="subscript"/>
        <sz val="11"/>
        <rFont val="Times New Roman"/>
        <family val="1"/>
      </rPr>
      <t>25</t>
    </r>
  </si>
  <si>
    <t>T6 x 0,05% ( tối thiểu 1.000.000 vnd)</t>
  </si>
  <si>
    <t>T9 x 0,05% ( tối thiểu 1.000.000 vnd)</t>
  </si>
  <si>
    <t xml:space="preserve"> GIÁ TRỊ XD </t>
  </si>
  <si>
    <t>Gxd</t>
  </si>
  <si>
    <t>Phần cọc</t>
  </si>
  <si>
    <t>SỞ CÔNG THƯƠNG</t>
  </si>
  <si>
    <t>xem bảng tính</t>
  </si>
  <si>
    <t>Cộng chi phí xây dựng trước thuế</t>
  </si>
  <si>
    <t xml:space="preserve">I + II </t>
  </si>
  <si>
    <t>Ko có thang máy + tb máy lạnh</t>
  </si>
  <si>
    <t xml:space="preserve"> - Thuế giá trị gia tăng</t>
  </si>
  <si>
    <t>G*10%</t>
  </si>
  <si>
    <t>CỘNG CHI PHÍ XÂY DỰNG</t>
  </si>
  <si>
    <r>
      <t>G</t>
    </r>
    <r>
      <rPr>
        <vertAlign val="subscript"/>
        <sz val="12"/>
        <rFont val="Times New Roman"/>
        <family val="1"/>
      </rPr>
      <t>XD5</t>
    </r>
  </si>
  <si>
    <r>
      <t>G</t>
    </r>
    <r>
      <rPr>
        <vertAlign val="subscript"/>
        <sz val="12"/>
        <rFont val="Times New Roman"/>
        <family val="1"/>
      </rPr>
      <t>XD6</t>
    </r>
  </si>
  <si>
    <r>
      <t>G</t>
    </r>
    <r>
      <rPr>
        <vertAlign val="subscript"/>
        <sz val="12"/>
        <rFont val="Times New Roman"/>
        <family val="1"/>
      </rPr>
      <t>XD7</t>
    </r>
  </si>
  <si>
    <r>
      <t>G</t>
    </r>
    <r>
      <rPr>
        <vertAlign val="subscript"/>
        <sz val="12"/>
        <rFont val="Times New Roman"/>
        <family val="1"/>
      </rPr>
      <t>XDST</t>
    </r>
    <r>
      <rPr>
        <sz val="12"/>
        <rFont val="Times New Roman"/>
        <family val="1"/>
      </rPr>
      <t>+G</t>
    </r>
    <r>
      <rPr>
        <vertAlign val="subscript"/>
        <sz val="12"/>
        <rFont val="Times New Roman"/>
        <family val="1"/>
      </rPr>
      <t>XDNT</t>
    </r>
  </si>
  <si>
    <r>
      <t>G</t>
    </r>
    <r>
      <rPr>
        <vertAlign val="subscript"/>
        <sz val="12"/>
        <rFont val="Times New Roman"/>
        <family val="1"/>
      </rPr>
      <t>XD8</t>
    </r>
  </si>
  <si>
    <r>
      <t>G</t>
    </r>
    <r>
      <rPr>
        <vertAlign val="subscript"/>
        <sz val="12"/>
        <rFont val="Times New Roman"/>
        <family val="1"/>
      </rPr>
      <t>XD9</t>
    </r>
  </si>
  <si>
    <r>
      <t>G</t>
    </r>
    <r>
      <rPr>
        <vertAlign val="subscript"/>
        <sz val="12"/>
        <rFont val="Times New Roman"/>
        <family val="1"/>
      </rPr>
      <t>XD10</t>
    </r>
  </si>
  <si>
    <r>
      <t>G</t>
    </r>
    <r>
      <rPr>
        <vertAlign val="subscript"/>
        <sz val="12"/>
        <rFont val="Times New Roman"/>
        <family val="1"/>
      </rPr>
      <t>XD11</t>
    </r>
  </si>
  <si>
    <r>
      <t>G</t>
    </r>
    <r>
      <rPr>
        <vertAlign val="subscript"/>
        <sz val="12"/>
        <rFont val="Times New Roman"/>
        <family val="1"/>
      </rPr>
      <t>XD12</t>
    </r>
  </si>
  <si>
    <r>
      <t>G</t>
    </r>
    <r>
      <rPr>
        <vertAlign val="subscript"/>
        <sz val="12"/>
        <rFont val="Times New Roman"/>
        <family val="1"/>
      </rPr>
      <t>XD13</t>
    </r>
  </si>
  <si>
    <r>
      <t>G</t>
    </r>
    <r>
      <rPr>
        <vertAlign val="subscript"/>
        <sz val="12"/>
        <rFont val="Times New Roman"/>
        <family val="1"/>
      </rPr>
      <t>XD14</t>
    </r>
  </si>
  <si>
    <r>
      <t>G</t>
    </r>
    <r>
      <rPr>
        <vertAlign val="subscript"/>
        <sz val="12"/>
        <rFont val="Times New Roman"/>
        <family val="1"/>
      </rPr>
      <t>TB1</t>
    </r>
  </si>
  <si>
    <r>
      <t>G</t>
    </r>
    <r>
      <rPr>
        <vertAlign val="subscript"/>
        <sz val="12"/>
        <rFont val="Times New Roman"/>
        <family val="1"/>
      </rPr>
      <t>TB2</t>
    </r>
  </si>
  <si>
    <r>
      <t>G</t>
    </r>
    <r>
      <rPr>
        <vertAlign val="subscript"/>
        <sz val="12"/>
        <rFont val="Times New Roman"/>
        <family val="1"/>
      </rPr>
      <t>XDST</t>
    </r>
  </si>
  <si>
    <r>
      <t>G</t>
    </r>
    <r>
      <rPr>
        <b/>
        <vertAlign val="subscript"/>
        <sz val="12"/>
        <rFont val="Times New Roman"/>
        <family val="1"/>
      </rPr>
      <t>XD</t>
    </r>
  </si>
  <si>
    <t>Phòng chống mối mọt</t>
  </si>
  <si>
    <t xml:space="preserve">   - Nhà làm việc </t>
  </si>
  <si>
    <t xml:space="preserve">   - Cấp điện, nước, PCCC tổng thể</t>
  </si>
  <si>
    <t xml:space="preserve">   - Trạm biến áp 3pha 250KVA</t>
  </si>
  <si>
    <t>Gtb</t>
  </si>
  <si>
    <t xml:space="preserve">   - Thiết bị nội thất</t>
  </si>
  <si>
    <r>
      <t>G</t>
    </r>
    <r>
      <rPr>
        <vertAlign val="subscript"/>
        <sz val="12"/>
        <rFont val="Times New Roman"/>
        <family val="1"/>
      </rPr>
      <t>1</t>
    </r>
  </si>
  <si>
    <r>
      <t>G</t>
    </r>
    <r>
      <rPr>
        <vertAlign val="subscript"/>
        <sz val="12"/>
        <rFont val="Times New Roman"/>
        <family val="1"/>
      </rPr>
      <t>6</t>
    </r>
  </si>
  <si>
    <r>
      <t>G</t>
    </r>
    <r>
      <rPr>
        <vertAlign val="subscript"/>
        <sz val="12"/>
        <rFont val="Times New Roman"/>
        <family val="1"/>
      </rPr>
      <t>8</t>
    </r>
  </si>
  <si>
    <r>
      <t>G</t>
    </r>
    <r>
      <rPr>
        <vertAlign val="subscript"/>
        <sz val="12"/>
        <rFont val="Times New Roman"/>
        <family val="1"/>
      </rPr>
      <t>9</t>
    </r>
  </si>
  <si>
    <t>thẩm tra</t>
  </si>
  <si>
    <t>kiểm toán</t>
  </si>
  <si>
    <t>LỆ PHÍ PCCC</t>
  </si>
  <si>
    <t>PCCC (%)</t>
  </si>
  <si>
    <t>LP PCC</t>
  </si>
  <si>
    <r>
      <t>(</t>
    </r>
    <r>
      <rPr>
        <i/>
        <sz val="14"/>
        <rFont val="Times New Roman"/>
        <family val="1"/>
      </rPr>
      <t>Ban hành kèm theo Thông tư số 176/2011/TT-BTC ngày 6/12/2011 của Bộ Tài chính)</t>
    </r>
  </si>
  <si>
    <r>
      <t>&lt;</t>
    </r>
    <r>
      <rPr>
        <sz val="14"/>
        <rFont val="Times New Roman"/>
        <family val="1"/>
      </rPr>
      <t>15</t>
    </r>
  </si>
  <si>
    <t>TĐịnh DAĐT</t>
  </si>
  <si>
    <t>Bảng số 19: Định mức chi phí lập hồ sơ mời thầu, đánh giá hồ sơ dự thầu tư vấn</t>
  </si>
  <si>
    <t>Chi phí tư vấn (chưa có thuế GTGT) của giá gói thầu tư vấn được duyệt (tỷ đồng)</t>
  </si>
  <si>
    <t>≤ 1</t>
  </si>
  <si>
    <t>Thẩm định TK</t>
  </si>
  <si>
    <t>Thẩm định DT</t>
  </si>
  <si>
    <t>TK</t>
  </si>
  <si>
    <t>DT</t>
  </si>
  <si>
    <t xml:space="preserve">   - Thiết bị bảng ký hiện, chỉ dẫn, sơ đồ</t>
  </si>
  <si>
    <t xml:space="preserve">   - Bể nước ngầm 65m3</t>
  </si>
  <si>
    <t>2bộ</t>
  </si>
  <si>
    <r>
      <t>G</t>
    </r>
    <r>
      <rPr>
        <vertAlign val="subscript"/>
        <sz val="12"/>
        <rFont val="Times New Roman"/>
        <family val="1"/>
      </rPr>
      <t>TB2</t>
    </r>
  </si>
  <si>
    <r>
      <t>G</t>
    </r>
    <r>
      <rPr>
        <vertAlign val="subscript"/>
        <sz val="12"/>
        <rFont val="Times New Roman"/>
        <family val="1"/>
      </rPr>
      <t>TB4</t>
    </r>
  </si>
  <si>
    <t xml:space="preserve">   - Thiết bị thang máy</t>
  </si>
  <si>
    <t>Phần tầng 4, 5</t>
  </si>
  <si>
    <t>Tầng tầng 1, 2, 3</t>
  </si>
  <si>
    <t xml:space="preserve">   - Nhà xe 2 bánh (nhân viện + đọc giả)</t>
  </si>
  <si>
    <t xml:space="preserve">   - Sân đường nội bộ</t>
  </si>
  <si>
    <t xml:space="preserve">   - Sân vườn cây xanh</t>
  </si>
  <si>
    <t xml:space="preserve">   - Tháo dỡ các khối hiện trạng</t>
  </si>
  <si>
    <t>499,84m2 x 120.000đ</t>
  </si>
  <si>
    <r>
      <t>G</t>
    </r>
    <r>
      <rPr>
        <vertAlign val="subscript"/>
        <sz val="12"/>
        <rFont val="Times New Roman"/>
        <family val="1"/>
      </rPr>
      <t>2</t>
    </r>
  </si>
  <si>
    <r>
      <t>G</t>
    </r>
    <r>
      <rPr>
        <vertAlign val="subscript"/>
        <sz val="12"/>
        <rFont val="Times New Roman"/>
        <family val="1"/>
      </rPr>
      <t>3</t>
    </r>
  </si>
  <si>
    <r>
      <t>G</t>
    </r>
    <r>
      <rPr>
        <vertAlign val="subscript"/>
        <sz val="12"/>
        <rFont val="Times New Roman"/>
        <family val="1"/>
      </rPr>
      <t>4</t>
    </r>
  </si>
  <si>
    <r>
      <t>G</t>
    </r>
    <r>
      <rPr>
        <vertAlign val="subscript"/>
        <sz val="12"/>
        <rFont val="Times New Roman"/>
        <family val="1"/>
      </rPr>
      <t>5</t>
    </r>
  </si>
  <si>
    <r>
      <t>G</t>
    </r>
    <r>
      <rPr>
        <vertAlign val="subscript"/>
        <sz val="12"/>
        <rFont val="Times New Roman"/>
        <family val="1"/>
      </rPr>
      <t>7</t>
    </r>
  </si>
  <si>
    <r>
      <t>964,26m</t>
    </r>
    <r>
      <rPr>
        <i/>
        <vertAlign val="superscript"/>
        <sz val="12"/>
        <rFont val="Times New Roman"/>
        <family val="1"/>
      </rPr>
      <t>2</t>
    </r>
    <r>
      <rPr>
        <i/>
        <sz val="12"/>
        <rFont val="Times New Roman"/>
        <family val="1"/>
      </rPr>
      <t xml:space="preserve"> x 180.000</t>
    </r>
    <r>
      <rPr>
        <i/>
        <vertAlign val="superscript"/>
        <sz val="12"/>
        <rFont val="Times New Roman"/>
        <family val="1"/>
      </rPr>
      <t>đ</t>
    </r>
  </si>
  <si>
    <r>
      <t>677,02m</t>
    </r>
    <r>
      <rPr>
        <i/>
        <vertAlign val="superscript"/>
        <sz val="12"/>
        <rFont val="Times New Roman"/>
        <family val="1"/>
      </rPr>
      <t>2</t>
    </r>
    <r>
      <rPr>
        <i/>
        <sz val="12"/>
        <rFont val="Times New Roman"/>
        <family val="1"/>
      </rPr>
      <t xml:space="preserve"> x 200.000</t>
    </r>
    <r>
      <rPr>
        <i/>
        <vertAlign val="superscript"/>
        <sz val="12"/>
        <rFont val="Times New Roman"/>
        <family val="1"/>
      </rPr>
      <t>đ</t>
    </r>
  </si>
  <si>
    <t xml:space="preserve">   - Nhà bảo vệ</t>
  </si>
  <si>
    <t xml:space="preserve">   - Cổng tường rào</t>
  </si>
  <si>
    <r>
      <t>G</t>
    </r>
    <r>
      <rPr>
        <vertAlign val="subscript"/>
        <sz val="12"/>
        <rFont val="Times New Roman"/>
        <family val="1"/>
      </rPr>
      <t>10</t>
    </r>
  </si>
  <si>
    <r>
      <t>839,82m</t>
    </r>
    <r>
      <rPr>
        <vertAlign val="superscript"/>
        <sz val="12"/>
        <rFont val="Times New Roman"/>
        <family val="1"/>
      </rPr>
      <t>2</t>
    </r>
    <r>
      <rPr>
        <sz val="12"/>
        <rFont val="Times New Roman"/>
        <family val="1"/>
      </rPr>
      <t xml:space="preserve"> x 5.000.000</t>
    </r>
    <r>
      <rPr>
        <vertAlign val="superscript"/>
        <sz val="12"/>
        <rFont val="Times New Roman"/>
        <family val="1"/>
      </rPr>
      <t>đ</t>
    </r>
  </si>
  <si>
    <r>
      <t>1814,14m</t>
    </r>
    <r>
      <rPr>
        <vertAlign val="superscript"/>
        <sz val="12"/>
        <rFont val="Times New Roman"/>
        <family val="1"/>
      </rPr>
      <t>2</t>
    </r>
    <r>
      <rPr>
        <sz val="12"/>
        <rFont val="Times New Roman"/>
        <family val="1"/>
      </rPr>
      <t xml:space="preserve"> x 5.600.000</t>
    </r>
    <r>
      <rPr>
        <vertAlign val="superscript"/>
        <sz val="12"/>
        <rFont val="Times New Roman"/>
        <family val="1"/>
      </rPr>
      <t>đ</t>
    </r>
  </si>
  <si>
    <r>
      <t>9m</t>
    </r>
    <r>
      <rPr>
        <i/>
        <vertAlign val="superscript"/>
        <sz val="12"/>
        <rFont val="Times New Roman"/>
        <family val="1"/>
      </rPr>
      <t>2</t>
    </r>
    <r>
      <rPr>
        <i/>
        <sz val="12"/>
        <rFont val="Times New Roman"/>
        <family val="1"/>
      </rPr>
      <t xml:space="preserve"> x 6.000.000</t>
    </r>
    <r>
      <rPr>
        <i/>
        <vertAlign val="superscript"/>
        <sz val="12"/>
        <rFont val="Times New Roman"/>
        <family val="1"/>
      </rPr>
      <t>đ</t>
    </r>
  </si>
  <si>
    <t xml:space="preserve">T6 x 0,816% </t>
  </si>
  <si>
    <t>T9 x 0,816%</t>
  </si>
  <si>
    <r>
      <t>172m</t>
    </r>
    <r>
      <rPr>
        <i/>
        <vertAlign val="superscript"/>
        <sz val="12"/>
        <rFont val="Times New Roman"/>
        <family val="1"/>
      </rPr>
      <t>2</t>
    </r>
    <r>
      <rPr>
        <i/>
        <sz val="12"/>
        <rFont val="Times New Roman"/>
        <family val="1"/>
      </rPr>
      <t xml:space="preserve"> x 1.700.000</t>
    </r>
    <r>
      <rPr>
        <i/>
        <vertAlign val="superscript"/>
        <sz val="12"/>
        <rFont val="Times New Roman"/>
        <family val="1"/>
      </rPr>
      <t>đ</t>
    </r>
  </si>
  <si>
    <r>
      <t>46,7m x 2.700.000</t>
    </r>
    <r>
      <rPr>
        <i/>
        <vertAlign val="superscript"/>
        <sz val="12"/>
        <rFont val="Times New Roman"/>
        <family val="1"/>
      </rPr>
      <t>đ</t>
    </r>
  </si>
  <si>
    <r>
      <t>(206 cọc x 11,7m) x 680.000</t>
    </r>
    <r>
      <rPr>
        <vertAlign val="superscript"/>
        <sz val="12"/>
        <rFont val="Times New Roman"/>
        <family val="1"/>
      </rPr>
      <t>đ</t>
    </r>
  </si>
  <si>
    <t>BẢNG TỔNG HỢP CHI PHÍ XÂY DỰNG</t>
  </si>
  <si>
    <t>CHI PHÍ XÂY DỰNG NHÀ LÀM VIỆC</t>
  </si>
  <si>
    <t>G1</t>
  </si>
  <si>
    <t>G2</t>
  </si>
  <si>
    <r>
      <t>∑</t>
    </r>
    <r>
      <rPr>
        <b/>
        <sz val="11"/>
        <rFont val="Times New Roman"/>
        <family val="1"/>
      </rPr>
      <t>G</t>
    </r>
    <r>
      <rPr>
        <b/>
        <vertAlign val="subscript"/>
        <sz val="11"/>
        <rFont val="Times New Roman"/>
        <family val="1"/>
      </rPr>
      <t>XD</t>
    </r>
  </si>
  <si>
    <t>Chi phí thẩm định BC KTKT</t>
  </si>
  <si>
    <t>BẢNG TỔNG HỢP KHÁI TOÁN</t>
  </si>
  <si>
    <t xml:space="preserve">                                                                        THƯ VIỆN TỈNH BR-VT</t>
  </si>
  <si>
    <t xml:space="preserve">                                                                                            Bà Rịa - Vũng Tàu</t>
  </si>
  <si>
    <t>Số TT</t>
  </si>
  <si>
    <t>Tên sản phẩm</t>
  </si>
  <si>
    <t>Vật liệu</t>
  </si>
  <si>
    <t>KÍCH THƯỚC</t>
  </si>
  <si>
    <t>TẦNG TRỆT</t>
  </si>
  <si>
    <t>LẤU 1</t>
  </si>
  <si>
    <t>LẦU 2</t>
  </si>
  <si>
    <t>ĐƠN VỊ</t>
  </si>
  <si>
    <t>Số lượng</t>
  </si>
  <si>
    <t>Đơn giá</t>
  </si>
  <si>
    <t>W</t>
  </si>
  <si>
    <t>D</t>
  </si>
  <si>
    <t>H</t>
  </si>
  <si>
    <t>G-1</t>
  </si>
  <si>
    <t>G-2</t>
  </si>
  <si>
    <t>G-3</t>
  </si>
  <si>
    <t>G-4</t>
  </si>
  <si>
    <t>G-5</t>
  </si>
  <si>
    <t>G-6</t>
  </si>
  <si>
    <t>G-7</t>
  </si>
  <si>
    <t>G-8</t>
  </si>
  <si>
    <t>G-9</t>
  </si>
  <si>
    <t>G-10</t>
  </si>
  <si>
    <t>1-1</t>
  </si>
  <si>
    <t>1-2</t>
  </si>
  <si>
    <t>1-3</t>
  </si>
  <si>
    <t>1-4</t>
  </si>
  <si>
    <t>1-5</t>
  </si>
  <si>
    <t>1-6</t>
  </si>
  <si>
    <t>1-7</t>
  </si>
  <si>
    <t>1-8</t>
  </si>
  <si>
    <t>1-9</t>
  </si>
  <si>
    <t>1-10</t>
  </si>
  <si>
    <t>1-11</t>
  </si>
  <si>
    <t>1-12</t>
  </si>
  <si>
    <t>2-1</t>
  </si>
  <si>
    <t>2-2</t>
  </si>
  <si>
    <t>2-3</t>
  </si>
  <si>
    <t>2-4</t>
  </si>
  <si>
    <t>2-5</t>
  </si>
  <si>
    <t>2-6</t>
  </si>
  <si>
    <t>2-7</t>
  </si>
  <si>
    <t>2-8</t>
  </si>
  <si>
    <t>2-9</t>
  </si>
  <si>
    <t>cái</t>
  </si>
  <si>
    <t>bộ</t>
  </si>
  <si>
    <t>Bảng hiệu đặt ngoài mặt tiền</t>
  </si>
  <si>
    <t>Inox, đèn neon sight</t>
  </si>
  <si>
    <t>Kệ sách  2 mặt</t>
  </si>
  <si>
    <t>Kệ sách  1 mặt</t>
  </si>
  <si>
    <t>Ghế nhân viên</t>
  </si>
  <si>
    <t>Tủ hồ sơ</t>
  </si>
  <si>
    <t xml:space="preserve">Bàn nhân viên </t>
  </si>
  <si>
    <t>Bình nước nóng lạnh</t>
  </si>
  <si>
    <t xml:space="preserve">Phông màn </t>
  </si>
  <si>
    <t>Màn vải, ray dây kéo</t>
  </si>
  <si>
    <t>TỔNG CỘNG</t>
  </si>
  <si>
    <t>Ống nhòm ngắm cảnh siêu zoom, chân cố định 25x100</t>
  </si>
  <si>
    <t>hợp kim chống ôxy hóa</t>
  </si>
  <si>
    <t>CÔNG TRÌNH: XÂY DỰNG ĐIỂM DU LỊCH VĂN HÓA LẦU ÔNG HOÀNG</t>
  </si>
  <si>
    <t>Sưu tầm hiện vật</t>
  </si>
  <si>
    <t>Bộ</t>
  </si>
  <si>
    <t>- Vị trí 1</t>
  </si>
  <si>
    <t>- Vị trí 2</t>
  </si>
  <si>
    <t>(Kèm theo Báo cáo đề xuất chủ trương đầu tư số 106/BC-SVHTTDL ngày 14/01/2021 của Sở Văn hóa, Thể thao và Du lịch)</t>
  </si>
</sst>
</file>

<file path=xl/styles.xml><?xml version="1.0" encoding="utf-8"?>
<styleSheet xmlns="http://schemas.openxmlformats.org/spreadsheetml/2006/main">
  <numFmts count="9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
    <numFmt numFmtId="172" formatCode="#,##0\ &quot;F&quot;;\-#,##0\ &quot;F&quot;"/>
    <numFmt numFmtId="173" formatCode="&quot;\&quot;#,##0;[Red]&quot;\&quot;&quot;\&quot;\-#,##0"/>
    <numFmt numFmtId="174" formatCode="_-* #,##0_-;\-* #,##0_-;_-* &quot;-&quot;_-;_-@_-"/>
    <numFmt numFmtId="175" formatCode="0.000000000"/>
    <numFmt numFmtId="176" formatCode="0.000%"/>
    <numFmt numFmtId="177" formatCode="0.0%"/>
    <numFmt numFmtId="178" formatCode="_ * #,##0_ ;_ * \-#,##0_ ;_ * &quot;-&quot;_ ;_ @_ "/>
    <numFmt numFmtId="179" formatCode="0.0000%"/>
    <numFmt numFmtId="180" formatCode="_ * #,##0.00_ ;_ * \-#,##0.00_ ;_ * &quot;-&quot;??_ ;_ @_ "/>
    <numFmt numFmtId="181" formatCode="#,##0;\(#,##0\)"/>
    <numFmt numFmtId="182" formatCode="\$#,##0\ ;\(\$#,##0\)"/>
    <numFmt numFmtId="183" formatCode="\t0.00%"/>
    <numFmt numFmtId="184" formatCode="0.000"/>
    <numFmt numFmtId="185" formatCode="_-* #,##0\ _D_M_-;\-* #,##0\ _D_M_-;_-* &quot;-&quot;\ _D_M_-;_-@_-"/>
    <numFmt numFmtId="186" formatCode="_-* #,##0.00\ _D_M_-;\-* #,##0.00\ _D_M_-;_-* &quot;-&quot;??\ _D_M_-;_-@_-"/>
    <numFmt numFmtId="187" formatCode="\t#\ ??/??"/>
    <numFmt numFmtId="188" formatCode="#."/>
    <numFmt numFmtId="189" formatCode="#,##0\ &quot;$&quot;_);[Red]\(#,##0\ &quot;$&quot;\)"/>
    <numFmt numFmtId="190" formatCode="&quot;$&quot;###,0&quot;.&quot;00_);[Red]\(&quot;$&quot;###,0&quot;.&quot;00\)"/>
    <numFmt numFmtId="191" formatCode="0.00_)"/>
    <numFmt numFmtId="192" formatCode="_-* #,##0.00_-;\-* #,##0.00_-;_-* &quot;-&quot;??_-;_-@_-"/>
    <numFmt numFmtId="193" formatCode="_-* #,##0.0\ _F_-;\-* #,##0.0\ _F_-;_-* &quot;-&quot;??\ _F_-;_-@_-"/>
    <numFmt numFmtId="194" formatCode="_-* #,##0\ _F_-;\-* #,##0\ _F_-;_-* &quot;-&quot;\ _F_-;_-@_-"/>
    <numFmt numFmtId="195" formatCode="#,###,###.00"/>
    <numFmt numFmtId="196" formatCode="#,###,###,###.00"/>
    <numFmt numFmtId="197" formatCode="_-* #,##0\ &quot;DM&quot;_-;\-* #,##0\ &quot;DM&quot;_-;_-* &quot;-&quot;\ &quot;DM&quot;_-;_-@_-"/>
    <numFmt numFmtId="198" formatCode="_-* #,##0.00\ &quot;DM&quot;_-;\-* #,##0.00\ &quot;DM&quot;_-;_-* &quot;-&quot;??\ &quot;DM&quot;_-;_-@_-"/>
    <numFmt numFmtId="199" formatCode="&quot;$&quot;#,##0"/>
    <numFmt numFmtId="200" formatCode="#,##0.0;[Red]#,##0.0"/>
    <numFmt numFmtId="201" formatCode="_-&quot;$&quot;* #,##0_-;\-&quot;$&quot;* #,##0_-;_-&quot;$&quot;* &quot;-&quot;_-;_-@_-"/>
    <numFmt numFmtId="202" formatCode="_-&quot;$&quot;* #,##0.00_-;\-&quot;$&quot;* #,##0.00_-;_-&quot;$&quot;* &quot;-&quot;??_-;_-@_-"/>
    <numFmt numFmtId="203" formatCode="_(* #,##0.0000_);_(* \(#,##0.0000\);_(* &quot;-&quot;??_);_(@_)"/>
    <numFmt numFmtId="204" formatCode="#,##0.0000"/>
    <numFmt numFmtId="205" formatCode="0.0000"/>
    <numFmt numFmtId="206" formatCode="#,##0.000"/>
    <numFmt numFmtId="207" formatCode="#,###\ &quot;(đồng)&quot;"/>
    <numFmt numFmtId="208" formatCode="General\ &quot;( năm )&quot;"/>
    <numFmt numFmtId="209" formatCode="#,##0.00000"/>
    <numFmt numFmtId="210" formatCode="_(* #,##0.000_);_(* \(#,##0.000\);_(* &quot;-&quot;??_);_(@_)"/>
    <numFmt numFmtId="211" formatCode="#,##0.000_);\(#,##0.000\)"/>
    <numFmt numFmtId="212" formatCode="&quot;\&quot;#,##0.00;[Red]&quot;\&quot;&quot;\&quot;&quot;\&quot;&quot;\&quot;&quot;\&quot;&quot;\&quot;\-#,##0.00"/>
    <numFmt numFmtId="213" formatCode="_(&quot;$&quot;* #,##0.0000_);_(&quot;$&quot;* \(#,##0.0000\);_(&quot;$&quot;* &quot;-&quot;??_);_(@_)"/>
    <numFmt numFmtId="214" formatCode="_-* #,##0\ &quot;$&quot;_-;\-* #,##0\ &quot;$&quot;_-;_-* &quot;-&quot;\ &quot;$&quot;_-;_-@_-"/>
    <numFmt numFmtId="215" formatCode="0.00000"/>
    <numFmt numFmtId="216" formatCode="_-* #,##0.00\ _F_-;\-* #,##0.00\ _F_-;_-* &quot;-&quot;??\ _F_-;_-@_-"/>
    <numFmt numFmtId="217" formatCode="_(&quot;$&quot;\ * #,##0_);_(&quot;$&quot;\ * \(#,##0\);_(&quot;$&quot;\ * &quot;-&quot;_);_(@_)"/>
    <numFmt numFmtId="218" formatCode="_-* #,##0\ &quot;F&quot;_-;\-* #,##0\ &quot;F&quot;_-;_-* &quot;-&quot;\ &quot;F&quot;_-;_-@_-"/>
    <numFmt numFmtId="219" formatCode="_-* #,##0\ _$_-;\-* #,##0\ _$_-;_-* &quot;-&quot;\ _$_-;_-@_-"/>
    <numFmt numFmtId="220" formatCode="_ &quot;\&quot;* #,##0_ ;_ &quot;\&quot;* \-#,##0_ ;_ &quot;\&quot;* &quot;-&quot;_ ;_ @_ "/>
    <numFmt numFmtId="221" formatCode="&quot;SFr.&quot;\ #,##0.00;&quot;SFr.&quot;\ \-#,##0.00"/>
    <numFmt numFmtId="222" formatCode="&quot;SFr.&quot;\ #,##0.00;[Red]&quot;SFr.&quot;\ \-#,##0.00"/>
    <numFmt numFmtId="223" formatCode="#,##0.0_);\(#,##0.0\)"/>
    <numFmt numFmtId="224" formatCode="&quot;$&quot;#,##0.00"/>
    <numFmt numFmtId="225" formatCode="_ * #,##0.00_)&quot;£&quot;_ ;_ * \(#,##0.00\)&quot;£&quot;_ ;_ * &quot;-&quot;??_)&quot;£&quot;_ ;_ @_ "/>
    <numFmt numFmtId="226" formatCode="_-&quot;£&quot;* #,##0.00_-;\-&quot;£&quot;* #,##0.00_-;_-&quot;£&quot;* &quot;-&quot;??_-;_-@_-"/>
    <numFmt numFmtId="227" formatCode="0.0%;\(0.0%\)"/>
    <numFmt numFmtId="228" formatCode="_-* #,##0.00\ &quot;F&quot;_-;\-* #,##0.00\ &quot;F&quot;_-;_-* &quot;-&quot;??\ &quot;F&quot;_-;_-@_-"/>
    <numFmt numFmtId="229" formatCode="##\).000"/>
    <numFmt numFmtId="230" formatCode="000.000"/>
    <numFmt numFmtId="231" formatCode="##0.000"/>
    <numFmt numFmtId="232" formatCode="_-&quot;VND&quot;* #,##0_-;\-&quot;VND&quot;* #,##0_-;_-&quot;VND&quot;* &quot;-&quot;_-;_-@_-"/>
    <numFmt numFmtId="233" formatCode="_(&quot;Rp&quot;* #,##0.00_);_(&quot;Rp&quot;* \(#,##0.00\);_(&quot;Rp&quot;* &quot;-&quot;??_);_(@_)"/>
    <numFmt numFmtId="234" formatCode="#,##0.00\ &quot;FB&quot;;[Red]\-#,##0.00\ &quot;FB&quot;"/>
    <numFmt numFmtId="235" formatCode="#,##0\ &quot;$&quot;;\-#,##0\ &quot;$&quot;"/>
    <numFmt numFmtId="236" formatCode="&quot;$&quot;#,##0;\-&quot;$&quot;#,##0"/>
    <numFmt numFmtId="237" formatCode="_-* #,##0\ _F_B_-;\-* #,##0\ _F_B_-;_-* &quot;-&quot;\ _F_B_-;_-@_-"/>
    <numFmt numFmtId="238" formatCode="_ * #,##0.00_)_d_ ;_ * \(#,##0.00\)_d_ ;_ * &quot;-&quot;??_)_d_ ;_ @_ "/>
    <numFmt numFmtId="239" formatCode="_(* #,##0.000000_);_(* \(#,##0.000000\);_(* &quot;-&quot;??_);_(@_)"/>
    <numFmt numFmtId="240" formatCode="#,##0\ &quot;$&quot;_);\(#,##0\ &quot;$&quot;\)"/>
    <numFmt numFmtId="241" formatCode="_-&quot;£&quot;* #,##0_-;\-&quot;£&quot;* #,##0_-;_-&quot;£&quot;* &quot;-&quot;_-;_-@_-"/>
    <numFmt numFmtId="242" formatCode="&quot;$&quot;#&quot;,&quot;##0_);[Red]\(&quot;$&quot;#&quot;,&quot;##0\)"/>
    <numFmt numFmtId="243" formatCode="&quot;$&quot;###&quot;,&quot;0&quot;.&quot;00_);[Red]\(&quot;$&quot;###&quot;,&quot;0&quot;.&quot;00\)"/>
    <numFmt numFmtId="244" formatCode="#,##0.00\ &quot;F&quot;;[Red]\-#,##0.00\ &quot;F&quot;"/>
    <numFmt numFmtId="245" formatCode="#,##0.00\ \ "/>
    <numFmt numFmtId="246" formatCode="&quot;$&quot;#,##0;[Red]\-&quot;$&quot;#,##0"/>
    <numFmt numFmtId="247" formatCode="#,##0\ &quot;F&quot;;[Red]\-#,##0\ &quot;F&quot;"/>
    <numFmt numFmtId="248" formatCode="#,##0.00\ &quot;F&quot;;\-#,##0.00\ &quot;F&quot;"/>
    <numFmt numFmtId="249" formatCode="#,##0\ &quot;£&quot;_);\(#,##0\ &quot;£&quot;\)"/>
    <numFmt numFmtId="250" formatCode="#,##0.000000"/>
  </numFmts>
  <fonts count="251">
    <font>
      <sz val="10"/>
      <name val="Arial"/>
      <family val="0"/>
    </font>
    <font>
      <b/>
      <sz val="16"/>
      <name val="VNI-Times"/>
      <family val="0"/>
    </font>
    <font>
      <b/>
      <sz val="16"/>
      <color indexed="10"/>
      <name val="VNI-Times"/>
      <family val="0"/>
    </font>
    <font>
      <sz val="12"/>
      <color indexed="10"/>
      <name val="VNI-Times"/>
      <family val="0"/>
    </font>
    <font>
      <sz val="12"/>
      <name val="VNI-Times"/>
      <family val="0"/>
    </font>
    <font>
      <b/>
      <sz val="10"/>
      <name val="VNI-Times"/>
      <family val="0"/>
    </font>
    <font>
      <i/>
      <sz val="10"/>
      <color indexed="10"/>
      <name val="VNI-Times"/>
      <family val="0"/>
    </font>
    <font>
      <b/>
      <vertAlign val="subscript"/>
      <sz val="10"/>
      <name val="VNI-Times"/>
      <family val="0"/>
    </font>
    <font>
      <b/>
      <sz val="10"/>
      <color indexed="10"/>
      <name val="VNI-Times"/>
      <family val="0"/>
    </font>
    <font>
      <sz val="10"/>
      <color indexed="10"/>
      <name val="VNI-Times"/>
      <family val="0"/>
    </font>
    <font>
      <b/>
      <sz val="12"/>
      <color indexed="10"/>
      <name val="VNI-Times"/>
      <family val="0"/>
    </font>
    <font>
      <b/>
      <sz val="12"/>
      <name val="VNI-Times"/>
      <family val="0"/>
    </font>
    <font>
      <sz val="10"/>
      <name val="VNI-Times"/>
      <family val="0"/>
    </font>
    <font>
      <vertAlign val="subscript"/>
      <sz val="10"/>
      <name val="VNI-Times"/>
      <family val="0"/>
    </font>
    <font>
      <sz val="11"/>
      <color indexed="8"/>
      <name val="Calibri"/>
      <family val="2"/>
    </font>
    <font>
      <b/>
      <i/>
      <sz val="11"/>
      <name val=".VnTime"/>
      <family val="2"/>
    </font>
    <font>
      <i/>
      <sz val="10"/>
      <name val="VNI-Times"/>
      <family val="0"/>
    </font>
    <font>
      <sz val="12"/>
      <color indexed="9"/>
      <name val="VNI-Times"/>
      <family val="0"/>
    </font>
    <font>
      <b/>
      <sz val="11"/>
      <name val="VNI-Times"/>
      <family val="0"/>
    </font>
    <font>
      <b/>
      <vertAlign val="subscript"/>
      <sz val="11"/>
      <name val="VNI-Times"/>
      <family val="0"/>
    </font>
    <font>
      <sz val="11"/>
      <name val="VNI-Times"/>
      <family val="0"/>
    </font>
    <font>
      <vertAlign val="subscript"/>
      <sz val="11"/>
      <name val="VNI-Times"/>
      <family val="0"/>
    </font>
    <font>
      <b/>
      <i/>
      <sz val="12"/>
      <name val="VNI-Times"/>
      <family val="0"/>
    </font>
    <font>
      <sz val="8"/>
      <name val="Tahoma"/>
      <family val="2"/>
    </font>
    <font>
      <b/>
      <sz val="10.5"/>
      <name val="VNI-Times"/>
      <family val="0"/>
    </font>
    <font>
      <sz val="12"/>
      <name val=".VnTime"/>
      <family val="2"/>
    </font>
    <font>
      <sz val="14"/>
      <name val=".VnTime"/>
      <family val="2"/>
    </font>
    <font>
      <sz val="10"/>
      <name val="Helv"/>
      <family val="2"/>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¹UAAA¼"/>
      <family val="3"/>
    </font>
    <font>
      <sz val="11"/>
      <name val="µ¸¿ò"/>
      <family val="0"/>
    </font>
    <font>
      <b/>
      <sz val="10"/>
      <name val="Helv"/>
      <family val="0"/>
    </font>
    <font>
      <sz val="10"/>
      <name val="Times New Roman"/>
      <family val="1"/>
    </font>
    <font>
      <sz val="8"/>
      <name val="Arial"/>
      <family val="2"/>
    </font>
    <font>
      <b/>
      <sz val="12"/>
      <name val="Helv"/>
      <family val="0"/>
    </font>
    <font>
      <b/>
      <sz val="12"/>
      <name val="Arial"/>
      <family val="2"/>
    </font>
    <font>
      <b/>
      <sz val="1"/>
      <color indexed="8"/>
      <name val="Courier"/>
      <family val="3"/>
    </font>
    <font>
      <sz val="10"/>
      <name val="MS Sans Serif"/>
      <family val="2"/>
    </font>
    <font>
      <b/>
      <sz val="11"/>
      <name val="Helv"/>
      <family val="0"/>
    </font>
    <font>
      <sz val="10"/>
      <name val=".VnAvant"/>
      <family val="2"/>
    </font>
    <font>
      <sz val="12"/>
      <name val="Arial"/>
      <family val="2"/>
    </font>
    <font>
      <sz val="7"/>
      <name val="Small Fonts"/>
      <family val="2"/>
    </font>
    <font>
      <b/>
      <i/>
      <sz val="16"/>
      <name val="Helv"/>
      <family val="0"/>
    </font>
    <font>
      <sz val="11"/>
      <name val="–¾’©"/>
      <family val="1"/>
    </font>
    <font>
      <sz val="13"/>
      <name val=".VnTime"/>
      <family val="2"/>
    </font>
    <font>
      <sz val="11"/>
      <color indexed="32"/>
      <name val="VNI-Times"/>
      <family val="0"/>
    </font>
    <font>
      <sz val="14"/>
      <name val="뼻뮝"/>
      <family val="3"/>
    </font>
    <font>
      <sz val="12"/>
      <name val="바탕체"/>
      <family val="3"/>
    </font>
    <font>
      <sz val="12"/>
      <name val="뼻뮝"/>
      <family val="3"/>
    </font>
    <font>
      <sz val="9"/>
      <name val="Arial"/>
      <family val="2"/>
    </font>
    <font>
      <sz val="10"/>
      <name val=".VnArial"/>
      <family val="2"/>
    </font>
    <font>
      <sz val="10"/>
      <name val="굴림체"/>
      <family val="3"/>
    </font>
    <font>
      <sz val="12"/>
      <name val="Courier"/>
      <family val="3"/>
    </font>
    <font>
      <sz val="10"/>
      <name val=" "/>
      <family val="1"/>
    </font>
    <font>
      <sz val="12"/>
      <name val="Times New Roman"/>
      <family val="1"/>
    </font>
    <font>
      <i/>
      <sz val="12"/>
      <name val="Times New Roman"/>
      <family val="1"/>
    </font>
    <font>
      <b/>
      <sz val="12"/>
      <name val="Times New Roman"/>
      <family val="1"/>
    </font>
    <font>
      <u val="single"/>
      <sz val="12"/>
      <name val="Times New Roman"/>
      <family val="1"/>
    </font>
    <font>
      <sz val="13"/>
      <name val="Times New Roman"/>
      <family val="1"/>
    </font>
    <font>
      <i/>
      <sz val="13"/>
      <name val="Times New Roman"/>
      <family val="1"/>
    </font>
    <font>
      <b/>
      <sz val="12.5"/>
      <name val="Times New Roman"/>
      <family val="1"/>
    </font>
    <font>
      <b/>
      <sz val="10"/>
      <name val="Times New Roman"/>
      <family val="1"/>
    </font>
    <font>
      <b/>
      <sz val="16"/>
      <name val="Times New Roman"/>
      <family val="1"/>
    </font>
    <font>
      <b/>
      <sz val="14"/>
      <name val="Times New Roman"/>
      <family val="1"/>
    </font>
    <font>
      <b/>
      <i/>
      <sz val="10"/>
      <name val="Times New Roman"/>
      <family val="1"/>
    </font>
    <font>
      <b/>
      <sz val="11"/>
      <name val="Times New Roman"/>
      <family val="1"/>
    </font>
    <font>
      <sz val="11"/>
      <name val="Times New Roman"/>
      <family val="1"/>
    </font>
    <font>
      <i/>
      <sz val="11"/>
      <name val="Times New Roman"/>
      <family val="1"/>
    </font>
    <font>
      <sz val="10"/>
      <color indexed="10"/>
      <name val="Times New Roman"/>
      <family val="1"/>
    </font>
    <font>
      <b/>
      <i/>
      <sz val="11"/>
      <name val="Times New Roman"/>
      <family val="1"/>
    </font>
    <font>
      <b/>
      <vertAlign val="subscript"/>
      <sz val="12"/>
      <name val="Times New Roman"/>
      <family val="1"/>
    </font>
    <font>
      <b/>
      <sz val="16"/>
      <color indexed="10"/>
      <name val="Times New Roman"/>
      <family val="1"/>
    </font>
    <font>
      <sz val="12"/>
      <color indexed="10"/>
      <name val="Times New Roman"/>
      <family val="1"/>
    </font>
    <font>
      <b/>
      <sz val="12"/>
      <color indexed="30"/>
      <name val="Times New Roman"/>
      <family val="1"/>
    </font>
    <font>
      <i/>
      <sz val="10"/>
      <color indexed="10"/>
      <name val="Times New Roman"/>
      <family val="1"/>
    </font>
    <font>
      <sz val="12"/>
      <color indexed="9"/>
      <name val="Times New Roman"/>
      <family val="1"/>
    </font>
    <font>
      <sz val="13"/>
      <color indexed="10"/>
      <name val="Times New Roman"/>
      <family val="1"/>
    </font>
    <font>
      <sz val="13"/>
      <color indexed="9"/>
      <name val="Times New Roman"/>
      <family val="1"/>
    </font>
    <font>
      <b/>
      <sz val="11"/>
      <color indexed="10"/>
      <name val="Times New Roman"/>
      <family val="1"/>
    </font>
    <font>
      <sz val="11"/>
      <color indexed="10"/>
      <name val="Times New Roman"/>
      <family val="1"/>
    </font>
    <font>
      <b/>
      <vertAlign val="subscript"/>
      <sz val="11"/>
      <name val="Times New Roman"/>
      <family val="1"/>
    </font>
    <font>
      <b/>
      <sz val="11"/>
      <color indexed="8"/>
      <name val="Times New Roman"/>
      <family val="1"/>
    </font>
    <font>
      <vertAlign val="subscript"/>
      <sz val="11"/>
      <name val="Times New Roman"/>
      <family val="1"/>
    </font>
    <font>
      <b/>
      <sz val="10"/>
      <name val="Arial"/>
      <family val="2"/>
    </font>
    <font>
      <sz val="10"/>
      <color indexed="12"/>
      <name val="Arial"/>
      <family val="2"/>
    </font>
    <font>
      <i/>
      <sz val="10"/>
      <name val="Times New Roman"/>
      <family val="1"/>
    </font>
    <font>
      <b/>
      <sz val="20"/>
      <name val="Times New Roman"/>
      <family val="1"/>
    </font>
    <font>
      <sz val="11"/>
      <color indexed="9"/>
      <name val="Times New Roman"/>
      <family val="1"/>
    </font>
    <font>
      <b/>
      <sz val="11"/>
      <name val="Arial"/>
      <family val="2"/>
    </font>
    <font>
      <sz val="14"/>
      <name val="Times New Roman"/>
      <family val="1"/>
    </font>
    <font>
      <vertAlign val="subscript"/>
      <sz val="12"/>
      <name val="Times New Roman"/>
      <family val="1"/>
    </font>
    <font>
      <sz val="9"/>
      <name val="Tahoma"/>
      <family val="2"/>
    </font>
    <font>
      <b/>
      <sz val="13"/>
      <name val="Times New Roman"/>
      <family val="1"/>
    </font>
    <font>
      <b/>
      <sz val="18"/>
      <name val="Times New Roman"/>
      <family val="1"/>
    </font>
    <font>
      <sz val="12"/>
      <name val=".VnArial"/>
      <family val="2"/>
    </font>
    <font>
      <sz val="16"/>
      <name val="Times New Roman"/>
      <family val="1"/>
    </font>
    <font>
      <b/>
      <sz val="16"/>
      <color indexed="16"/>
      <name val="Verdana"/>
      <family val="2"/>
    </font>
    <font>
      <b/>
      <sz val="12"/>
      <color indexed="12"/>
      <name val="Arial"/>
      <family val="2"/>
    </font>
    <font>
      <b/>
      <sz val="9"/>
      <color indexed="12"/>
      <name val="Arial"/>
      <family val="2"/>
    </font>
    <font>
      <sz val="12"/>
      <color indexed="12"/>
      <name val="Arial"/>
      <family val="2"/>
    </font>
    <font>
      <sz val="11"/>
      <name val="Arial"/>
      <family val="2"/>
    </font>
    <font>
      <sz val="11"/>
      <color indexed="10"/>
      <name val="Arial"/>
      <family val="2"/>
    </font>
    <font>
      <vertAlign val="subscript"/>
      <sz val="11"/>
      <name val="Arial"/>
      <family val="2"/>
    </font>
    <font>
      <sz val="11"/>
      <color indexed="12"/>
      <name val="Arial"/>
      <family val="2"/>
    </font>
    <font>
      <vertAlign val="subscript"/>
      <sz val="11"/>
      <color indexed="12"/>
      <name val="Arial"/>
      <family val="2"/>
    </font>
    <font>
      <b/>
      <sz val="11"/>
      <color indexed="12"/>
      <name val="Arial"/>
      <family val="2"/>
    </font>
    <font>
      <b/>
      <vertAlign val="subscript"/>
      <sz val="12"/>
      <color indexed="12"/>
      <name val="Arial"/>
      <family val="2"/>
    </font>
    <font>
      <b/>
      <sz val="11"/>
      <color indexed="16"/>
      <name val="Arial"/>
      <family val="2"/>
    </font>
    <font>
      <sz val="11"/>
      <name val="Symbol"/>
      <family val="1"/>
    </font>
    <font>
      <b/>
      <vertAlign val="subscript"/>
      <sz val="11"/>
      <color indexed="12"/>
      <name val="Arial"/>
      <family val="2"/>
    </font>
    <font>
      <b/>
      <sz val="8"/>
      <name val="Tahoma"/>
      <family val="2"/>
    </font>
    <font>
      <b/>
      <i/>
      <sz val="14"/>
      <color indexed="12"/>
      <name val="Times New Roman"/>
      <family val="1"/>
    </font>
    <font>
      <u val="single"/>
      <sz val="14"/>
      <color indexed="12"/>
      <name val="Times New Roman"/>
      <family val="1"/>
    </font>
    <font>
      <sz val="14"/>
      <color indexed="8"/>
      <name val="Times New Roman"/>
      <family val="1"/>
    </font>
    <font>
      <sz val="20"/>
      <name val="Times New Roman"/>
      <family val="1"/>
    </font>
    <font>
      <sz val="18"/>
      <name val="Times New Roman"/>
      <family val="1"/>
    </font>
    <font>
      <vertAlign val="superscript"/>
      <sz val="12"/>
      <name val="Times New Roman"/>
      <family val="1"/>
    </font>
    <font>
      <i/>
      <vertAlign val="superscript"/>
      <sz val="12"/>
      <name val="Times New Roman"/>
      <family val="1"/>
    </font>
    <font>
      <b/>
      <sz val="10"/>
      <color indexed="10"/>
      <name val="Arial"/>
      <family val="2"/>
    </font>
    <font>
      <i/>
      <sz val="14"/>
      <name val="Times New Roman"/>
      <family val="1"/>
    </font>
    <font>
      <u val="single"/>
      <sz val="13"/>
      <name val="Times New Roman"/>
      <family val="1"/>
    </font>
    <font>
      <sz val="11"/>
      <color indexed="8"/>
      <name val="Times New Roman"/>
      <family val="1"/>
    </font>
    <font>
      <b/>
      <sz val="12"/>
      <color indexed="8"/>
      <name val="Times New Roman"/>
      <family val="1"/>
    </font>
    <font>
      <sz val="12"/>
      <color indexed="8"/>
      <name val="Times New Roman"/>
      <family val="1"/>
    </font>
    <font>
      <sz val="10"/>
      <color indexed="8"/>
      <name val="Arial"/>
      <family val="2"/>
    </font>
    <font>
      <sz val="10"/>
      <name val="?? ??"/>
      <family val="1"/>
    </font>
    <font>
      <sz val="12"/>
      <name val="????"/>
      <family val="1"/>
    </font>
    <font>
      <sz val="12"/>
      <name val="???"/>
      <family val="1"/>
    </font>
    <font>
      <sz val="12"/>
      <name val="|??¢¥¢¬¨Ï"/>
      <family val="1"/>
    </font>
    <font>
      <sz val="11"/>
      <color indexed="8"/>
      <name val="Arial"/>
      <family val="2"/>
    </font>
    <font>
      <sz val="11"/>
      <color indexed="9"/>
      <name val="Arial"/>
      <family val="2"/>
    </font>
    <font>
      <sz val="12"/>
      <name val="±¼¸²Ã¼"/>
      <family val="3"/>
    </font>
    <font>
      <sz val="11"/>
      <color indexed="20"/>
      <name val="Arial"/>
      <family val="2"/>
    </font>
    <font>
      <sz val="10"/>
      <name val="±¼¸²A¼"/>
      <family val="3"/>
    </font>
    <font>
      <b/>
      <sz val="11"/>
      <color indexed="10"/>
      <name val="Arial"/>
      <family val="2"/>
    </font>
    <font>
      <b/>
      <sz val="11"/>
      <color indexed="9"/>
      <name val="Arial"/>
      <family val="2"/>
    </font>
    <font>
      <sz val="10"/>
      <name val="VNI-Aptima"/>
      <family val="0"/>
    </font>
    <font>
      <sz val="10"/>
      <name val="VNbook-Antiqua"/>
      <family val="2"/>
    </font>
    <font>
      <b/>
      <sz val="12"/>
      <name val="VNTime"/>
      <family val="2"/>
    </font>
    <font>
      <b/>
      <sz val="12"/>
      <name val="VNTimeH"/>
      <family val="2"/>
    </font>
    <font>
      <sz val="10"/>
      <name val="Arial CE"/>
      <family val="0"/>
    </font>
    <font>
      <i/>
      <sz val="11"/>
      <color indexed="23"/>
      <name val="Arial"/>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family val="2"/>
    </font>
    <font>
      <b/>
      <sz val="12"/>
      <name val=".VnBook-AntiquaH"/>
      <family val="2"/>
    </font>
    <font>
      <b/>
      <sz val="18"/>
      <name val="Arial"/>
      <family val="2"/>
    </font>
    <font>
      <b/>
      <sz val="11"/>
      <color indexed="62"/>
      <name val="Arial"/>
      <family val="2"/>
    </font>
    <font>
      <b/>
      <sz val="10"/>
      <name val=".VnTime"/>
      <family val="2"/>
    </font>
    <font>
      <u val="single"/>
      <sz val="12"/>
      <color indexed="12"/>
      <name val=".VnTime"/>
      <family val="2"/>
    </font>
    <font>
      <sz val="11"/>
      <color indexed="62"/>
      <name val="Arial"/>
      <family val="2"/>
    </font>
    <font>
      <sz val="11"/>
      <color indexed="19"/>
      <name val="Arial"/>
      <family val="2"/>
    </font>
    <font>
      <b/>
      <sz val="12"/>
      <name val="VN-NTime"/>
      <family val="0"/>
    </font>
    <font>
      <b/>
      <sz val="11"/>
      <color indexed="63"/>
      <name val="Arial"/>
      <family val="2"/>
    </font>
    <font>
      <sz val="12"/>
      <name val="Helv"/>
      <family val="0"/>
    </font>
    <font>
      <b/>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0"/>
      <name val="Symbol"/>
      <family val="1"/>
    </font>
    <font>
      <sz val="13"/>
      <name val=".VnArial"/>
      <family val="2"/>
    </font>
    <font>
      <b/>
      <sz val="18"/>
      <color indexed="62"/>
      <name val="Times New Roman"/>
      <family val="2"/>
    </font>
    <font>
      <sz val="10"/>
      <name val=".VnArial Narrow"/>
      <family val="2"/>
    </font>
    <font>
      <sz val="10"/>
      <color indexed="8"/>
      <name val="MS Sans Serif"/>
      <family val="2"/>
    </font>
    <font>
      <b/>
      <sz val="8"/>
      <name val="VN Helvetica"/>
      <family val="0"/>
    </font>
    <font>
      <b/>
      <sz val="12"/>
      <name val=".VnTime"/>
      <family val="2"/>
    </font>
    <font>
      <b/>
      <sz val="10"/>
      <name val="VN AvantGBook"/>
      <family val="0"/>
    </font>
    <font>
      <b/>
      <sz val="16"/>
      <name val=".VnTime"/>
      <family val="2"/>
    </font>
    <font>
      <sz val="9"/>
      <name val=".VnTime"/>
      <family val="2"/>
    </font>
    <font>
      <sz val="14"/>
      <name val=".VnArial"/>
      <family val="2"/>
    </font>
    <font>
      <sz val="10"/>
      <name val="돋움체"/>
      <family val="3"/>
    </font>
    <font>
      <sz val="11"/>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Times New Roman"/>
      <family val="1"/>
    </font>
    <font>
      <b/>
      <sz val="12"/>
      <color indexed="12"/>
      <name val="Times New Roman"/>
      <family val="1"/>
    </font>
    <font>
      <b/>
      <sz val="13"/>
      <color indexed="8"/>
      <name val="Times New Roman"/>
      <family val="1"/>
    </font>
    <font>
      <sz val="13"/>
      <color indexed="8"/>
      <name val="Times New Roman"/>
      <family val="1"/>
    </font>
    <font>
      <b/>
      <sz val="9"/>
      <color indexed="8"/>
      <name val="Arial"/>
      <family val="2"/>
    </font>
    <font>
      <sz val="9"/>
      <color indexed="8"/>
      <name val="Arial"/>
      <family val="2"/>
    </font>
    <font>
      <b/>
      <sz val="16"/>
      <color indexed="8"/>
      <name val="Times New Roman"/>
      <family val="1"/>
    </font>
    <font>
      <b/>
      <sz val="16"/>
      <color indexed="12"/>
      <name val="Times New Roman"/>
      <family val="1"/>
    </font>
    <font>
      <b/>
      <sz val="18"/>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sz val="16"/>
      <color theme="1"/>
      <name val="Times New Roman"/>
      <family val="1"/>
    </font>
    <font>
      <b/>
      <sz val="12"/>
      <color rgb="FF0000FF"/>
      <name val="Times New Roman"/>
      <family val="1"/>
    </font>
    <font>
      <sz val="14"/>
      <color theme="1"/>
      <name val="Times New Roman"/>
      <family val="1"/>
    </font>
    <font>
      <b/>
      <sz val="11"/>
      <color theme="1"/>
      <name val="Times New Roman"/>
      <family val="1"/>
    </font>
    <font>
      <b/>
      <sz val="13"/>
      <color theme="1"/>
      <name val="Times New Roman"/>
      <family val="1"/>
    </font>
    <font>
      <sz val="13"/>
      <color theme="1"/>
      <name val="Times New Roman"/>
      <family val="1"/>
    </font>
    <font>
      <b/>
      <sz val="12"/>
      <color theme="1"/>
      <name val="Times New Roman"/>
      <family val="1"/>
    </font>
    <font>
      <b/>
      <sz val="9"/>
      <color rgb="FF000000"/>
      <name val="Arial"/>
      <family val="2"/>
    </font>
    <font>
      <sz val="9"/>
      <color rgb="FF000000"/>
      <name val="Arial"/>
      <family val="2"/>
    </font>
    <font>
      <sz val="10"/>
      <color rgb="FF000000"/>
      <name val="Arial"/>
      <family val="2"/>
    </font>
    <font>
      <b/>
      <sz val="16"/>
      <color theme="1"/>
      <name val="Times New Roman"/>
      <family val="1"/>
    </font>
    <font>
      <b/>
      <sz val="18"/>
      <color theme="1"/>
      <name val="Times New Roman"/>
      <family val="1"/>
    </font>
    <font>
      <i/>
      <sz val="14"/>
      <color theme="1"/>
      <name val="Times New Roman"/>
      <family val="1"/>
    </font>
    <font>
      <b/>
      <sz val="16"/>
      <color rgb="FF0000FF"/>
      <name val="Times New Roman"/>
      <family val="1"/>
    </font>
    <font>
      <b/>
      <sz val="8"/>
      <name val="Arial"/>
      <family val="2"/>
    </font>
  </fonts>
  <fills count="7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CECFF"/>
        <bgColor indexed="64"/>
      </patternFill>
    </fill>
    <fill>
      <patternFill patternType="solid">
        <fgColor rgb="FFFFCCCC"/>
        <bgColor indexed="64"/>
      </patternFill>
    </fill>
    <fill>
      <patternFill patternType="solid">
        <fgColor rgb="FFFFFFFF"/>
        <bgColor indexed="64"/>
      </patternFill>
    </fill>
    <fill>
      <patternFill patternType="solid">
        <fgColor indexed="1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color indexed="63"/>
      </left>
      <right style="double"/>
      <top>
        <color indexed="63"/>
      </top>
      <bottom>
        <color indexed="63"/>
      </botto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style="hair"/>
      <right>
        <color indexed="63"/>
      </right>
      <top>
        <color indexed="63"/>
      </top>
      <bottom>
        <color indexed="63"/>
      </bottom>
    </border>
    <border>
      <left>
        <color indexed="63"/>
      </left>
      <right style="medium">
        <color indexed="63"/>
      </right>
      <top>
        <color indexed="63"/>
      </top>
      <bottom>
        <color indexed="63"/>
      </bottom>
    </border>
    <border>
      <left style="thin"/>
      <right style="thin"/>
      <top style="thin"/>
      <bottom>
        <color indexed="63"/>
      </bottom>
    </border>
    <border>
      <left style="thin"/>
      <right style="thin"/>
      <top style="hair"/>
      <bottom style="hair"/>
    </border>
    <border>
      <left style="thin"/>
      <right style="thin"/>
      <top style="hair"/>
      <bottom style="thin"/>
    </border>
    <border>
      <left/>
      <right style="thin"/>
      <top style="medium"/>
      <bottom style="hair"/>
    </border>
    <border>
      <left/>
      <right style="thin"/>
      <top/>
      <bottom/>
    </border>
    <border>
      <left style="hair"/>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style="hair"/>
    </border>
    <border>
      <left style="hair"/>
      <right style="hair"/>
      <top style="hair"/>
      <bottom style="hair"/>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hair"/>
      <bottom style="thin"/>
    </border>
    <border>
      <left style="double"/>
      <right style="thin"/>
      <top style="thin"/>
      <bottom style="thin"/>
    </border>
    <border>
      <left style="thin"/>
      <right style="double"/>
      <top style="thin"/>
      <bottom style="thin"/>
    </border>
    <border>
      <left style="double"/>
      <right style="thin"/>
      <top style="hair"/>
      <bottom style="hair"/>
    </border>
    <border>
      <left style="thin"/>
      <right style="double"/>
      <top style="hair"/>
      <bottom style="hair"/>
    </border>
    <border>
      <left style="double"/>
      <right style="thin"/>
      <top style="thin"/>
      <bottom style="hair"/>
    </border>
    <border>
      <left style="thin"/>
      <right style="double"/>
      <top style="thin"/>
      <bottom style="hair"/>
    </border>
    <border>
      <left style="double"/>
      <right style="thin"/>
      <top style="hair"/>
      <bottom style="thin"/>
    </border>
    <border>
      <left style="double"/>
      <right style="thin"/>
      <top/>
      <bottom style="double"/>
    </border>
    <border>
      <left style="thin"/>
      <right style="thin"/>
      <top/>
      <bottom style="double"/>
    </border>
    <border>
      <left style="thin"/>
      <right style="double"/>
      <top style="hair"/>
      <bottom>
        <color indexed="63"/>
      </bottom>
    </border>
    <border>
      <left style="thin"/>
      <right style="double"/>
      <top style="thin"/>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style="medium"/>
      <right style="medium"/>
      <top style="medium"/>
      <bottom>
        <color indexed="63"/>
      </bottom>
    </border>
    <border>
      <left style="thin">
        <color rgb="FF000000"/>
      </left>
      <right style="medium"/>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medium"/>
      <top style="thin">
        <color rgb="FF000000"/>
      </top>
      <bottom style="thin">
        <color rgb="FF000000"/>
      </bottom>
    </border>
    <border>
      <left style="thin"/>
      <right style="double"/>
      <top style="hair"/>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thin"/>
    </border>
    <border>
      <left/>
      <right style="thin"/>
      <top>
        <color indexed="63"/>
      </top>
      <bottom style="thin"/>
    </border>
  </borders>
  <cellStyleXfs count="8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26" fillId="0" borderId="0" applyFont="0" applyFill="0" applyBorder="0" applyAlignment="0" applyProtection="0"/>
    <xf numFmtId="0" fontId="13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0" fontId="0" fillId="0" borderId="0" applyNumberFormat="0" applyFill="0" applyBorder="0" applyAlignment="0" applyProtection="0"/>
    <xf numFmtId="213" fontId="12" fillId="0" borderId="0" applyFont="0" applyFill="0" applyBorder="0" applyAlignment="0" applyProtection="0"/>
    <xf numFmtId="178" fontId="55" fillId="0" borderId="0" applyFont="0" applyFill="0" applyBorder="0" applyAlignment="0" applyProtection="0"/>
    <xf numFmtId="174" fontId="131" fillId="0" borderId="0" applyFont="0" applyFill="0" applyBorder="0" applyAlignment="0" applyProtection="0"/>
    <xf numFmtId="192" fontId="131" fillId="0" borderId="0" applyFont="0" applyFill="0" applyBorder="0" applyAlignment="0" applyProtection="0"/>
    <xf numFmtId="165" fontId="57" fillId="0" borderId="0" applyFont="0" applyFill="0" applyBorder="0" applyAlignment="0" applyProtection="0"/>
    <xf numFmtId="0" fontId="13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3" fillId="0" borderId="0">
      <alignment/>
      <protection/>
    </xf>
    <xf numFmtId="0" fontId="0" fillId="0" borderId="0" applyNumberFormat="0" applyFill="0" applyBorder="0" applyAlignment="0" applyProtection="0"/>
    <xf numFmtId="174" fontId="2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14" fontId="12" fillId="0" borderId="0" applyFont="0" applyFill="0" applyBorder="0" applyAlignment="0" applyProtection="0"/>
    <xf numFmtId="194" fontId="25" fillId="0" borderId="0" applyFont="0" applyFill="0" applyBorder="0" applyAlignment="0" applyProtection="0"/>
    <xf numFmtId="166"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0" fontId="33" fillId="0" borderId="0" applyNumberFormat="0" applyFill="0" applyBorder="0" applyAlignment="0" applyProtection="0"/>
    <xf numFmtId="0" fontId="27" fillId="0" borderId="0">
      <alignment/>
      <protection/>
    </xf>
    <xf numFmtId="0" fontId="27" fillId="0" borderId="0">
      <alignment/>
      <protection/>
    </xf>
    <xf numFmtId="166"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166" fontId="12" fillId="0" borderId="0" applyFont="0" applyFill="0" applyBorder="0" applyAlignment="0" applyProtection="0"/>
    <xf numFmtId="201" fontId="4" fillId="0" borderId="0" applyFont="0" applyFill="0" applyBorder="0" applyAlignment="0" applyProtection="0"/>
    <xf numFmtId="192" fontId="4"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0" fontId="12" fillId="0" borderId="0" applyFont="0" applyFill="0" applyBorder="0" applyAlignment="0" applyProtection="0"/>
    <xf numFmtId="216"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4" fontId="4" fillId="0" borderId="0" applyFont="0" applyFill="0" applyBorder="0" applyAlignment="0" applyProtection="0"/>
    <xf numFmtId="166"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7" fontId="12" fillId="0" borderId="0" applyFont="0" applyFill="0" applyBorder="0" applyAlignment="0" applyProtection="0"/>
    <xf numFmtId="218" fontId="4" fillId="0" borderId="0" applyFont="0" applyFill="0" applyBorder="0" applyAlignment="0" applyProtection="0"/>
    <xf numFmtId="218"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0" fontId="12" fillId="0" borderId="0" applyFont="0" applyFill="0" applyBorder="0" applyAlignment="0" applyProtection="0"/>
    <xf numFmtId="216"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4"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9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05"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7" fontId="12" fillId="0" borderId="0" applyFont="0" applyFill="0" applyBorder="0" applyAlignment="0" applyProtection="0"/>
    <xf numFmtId="218" fontId="4" fillId="0" borderId="0" applyFont="0" applyFill="0" applyBorder="0" applyAlignment="0" applyProtection="0"/>
    <xf numFmtId="218" fontId="12" fillId="0" borderId="0" applyFont="0" applyFill="0" applyBorder="0" applyAlignment="0" applyProtection="0"/>
    <xf numFmtId="174" fontId="4"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192" fontId="4"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9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05"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0" fontId="12" fillId="0" borderId="0" applyFont="0" applyFill="0" applyBorder="0" applyAlignment="0" applyProtection="0"/>
    <xf numFmtId="216"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4" fontId="4" fillId="0" borderId="0" applyFont="0" applyFill="0" applyBorder="0" applyAlignment="0" applyProtection="0"/>
    <xf numFmtId="201" fontId="4"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7" fontId="12" fillId="0" borderId="0" applyFont="0" applyFill="0" applyBorder="0" applyAlignment="0" applyProtection="0"/>
    <xf numFmtId="218" fontId="4" fillId="0" borderId="0" applyFont="0" applyFill="0" applyBorder="0" applyAlignment="0" applyProtection="0"/>
    <xf numFmtId="218" fontId="12" fillId="0" borderId="0" applyFont="0" applyFill="0" applyBorder="0" applyAlignment="0" applyProtection="0"/>
    <xf numFmtId="174" fontId="4"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9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05"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0" fontId="12" fillId="0" borderId="0" applyFont="0" applyFill="0" applyBorder="0" applyAlignment="0" applyProtection="0"/>
    <xf numFmtId="216"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01" fontId="4" fillId="0" borderId="0" applyFont="0" applyFill="0" applyBorder="0" applyAlignment="0" applyProtection="0"/>
    <xf numFmtId="192" fontId="4" fillId="0" borderId="0" applyFont="0" applyFill="0" applyBorder="0" applyAlignment="0" applyProtection="0"/>
    <xf numFmtId="0" fontId="27" fillId="0" borderId="0">
      <alignment/>
      <protection/>
    </xf>
    <xf numFmtId="215" fontId="12" fillId="0" borderId="0" applyFont="0" applyFill="0" applyBorder="0" applyAlignment="0" applyProtection="0"/>
    <xf numFmtId="215" fontId="12" fillId="0" borderId="0" applyFont="0" applyFill="0" applyBorder="0" applyAlignment="0" applyProtection="0"/>
    <xf numFmtId="220" fontId="132" fillId="0" borderId="0" applyFont="0" applyFill="0" applyBorder="0" applyAlignment="0" applyProtection="0"/>
    <xf numFmtId="0" fontId="0" fillId="0" borderId="0">
      <alignment/>
      <protection/>
    </xf>
    <xf numFmtId="0" fontId="0" fillId="0" borderId="0">
      <alignment/>
      <protection/>
    </xf>
    <xf numFmtId="0" fontId="28" fillId="2" borderId="0">
      <alignment/>
      <protection/>
    </xf>
    <xf numFmtId="220" fontId="132" fillId="0" borderId="0" applyFont="0" applyFill="0" applyBorder="0" applyAlignment="0" applyProtection="0"/>
    <xf numFmtId="9" fontId="29" fillId="0" borderId="0" applyFont="0" applyFill="0" applyBorder="0" applyAlignment="0" applyProtection="0"/>
    <xf numFmtId="0" fontId="30" fillId="2"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15" fillId="3" borderId="0" applyNumberFormat="0" applyBorder="0" applyAlignment="0" applyProtection="0"/>
    <xf numFmtId="0" fontId="134" fillId="4" borderId="0" applyNumberFormat="0" applyBorder="0" applyAlignment="0" applyProtection="0"/>
    <xf numFmtId="0" fontId="215" fillId="5" borderId="0" applyNumberFormat="0" applyBorder="0" applyAlignment="0" applyProtection="0"/>
    <xf numFmtId="0" fontId="134" fillId="6" borderId="0" applyNumberFormat="0" applyBorder="0" applyAlignment="0" applyProtection="0"/>
    <xf numFmtId="0" fontId="215" fillId="7" borderId="0" applyNumberFormat="0" applyBorder="0" applyAlignment="0" applyProtection="0"/>
    <xf numFmtId="0" fontId="134" fillId="8" borderId="0" applyNumberFormat="0" applyBorder="0" applyAlignment="0" applyProtection="0"/>
    <xf numFmtId="0" fontId="215" fillId="9" borderId="0" applyNumberFormat="0" applyBorder="0" applyAlignment="0" applyProtection="0"/>
    <xf numFmtId="0" fontId="134" fillId="10" borderId="0" applyNumberFormat="0" applyBorder="0" applyAlignment="0" applyProtection="0"/>
    <xf numFmtId="0" fontId="215" fillId="11" borderId="0" applyNumberFormat="0" applyBorder="0" applyAlignment="0" applyProtection="0"/>
    <xf numFmtId="0" fontId="134" fillId="12" borderId="0" applyNumberFormat="0" applyBorder="0" applyAlignment="0" applyProtection="0"/>
    <xf numFmtId="0" fontId="215" fillId="13" borderId="0" applyNumberFormat="0" applyBorder="0" applyAlignment="0" applyProtection="0"/>
    <xf numFmtId="0" fontId="134" fillId="8" borderId="0" applyNumberFormat="0" applyBorder="0" applyAlignment="0" applyProtection="0"/>
    <xf numFmtId="0" fontId="31" fillId="2" borderId="0">
      <alignment/>
      <protection/>
    </xf>
    <xf numFmtId="0" fontId="32" fillId="0" borderId="0">
      <alignment wrapText="1"/>
      <protection/>
    </xf>
    <xf numFmtId="0" fontId="215" fillId="14" borderId="0" applyNumberFormat="0" applyBorder="0" applyAlignment="0" applyProtection="0"/>
    <xf numFmtId="0" fontId="134" fillId="12" borderId="0" applyNumberFormat="0" applyBorder="0" applyAlignment="0" applyProtection="0"/>
    <xf numFmtId="0" fontId="215" fillId="15" borderId="0" applyNumberFormat="0" applyBorder="0" applyAlignment="0" applyProtection="0"/>
    <xf numFmtId="0" fontId="134" fillId="6" borderId="0" applyNumberFormat="0" applyBorder="0" applyAlignment="0" applyProtection="0"/>
    <xf numFmtId="0" fontId="215" fillId="16" borderId="0" applyNumberFormat="0" applyBorder="0" applyAlignment="0" applyProtection="0"/>
    <xf numFmtId="0" fontId="134" fillId="17" borderId="0" applyNumberFormat="0" applyBorder="0" applyAlignment="0" applyProtection="0"/>
    <xf numFmtId="0" fontId="215" fillId="18" borderId="0" applyNumberFormat="0" applyBorder="0" applyAlignment="0" applyProtection="0"/>
    <xf numFmtId="0" fontId="134" fillId="19" borderId="0" applyNumberFormat="0" applyBorder="0" applyAlignment="0" applyProtection="0"/>
    <xf numFmtId="0" fontId="215" fillId="20" borderId="0" applyNumberFormat="0" applyBorder="0" applyAlignment="0" applyProtection="0"/>
    <xf numFmtId="0" fontId="134" fillId="12" borderId="0" applyNumberFormat="0" applyBorder="0" applyAlignment="0" applyProtection="0"/>
    <xf numFmtId="0" fontId="215" fillId="21" borderId="0" applyNumberFormat="0" applyBorder="0" applyAlignment="0" applyProtection="0"/>
    <xf numFmtId="0" fontId="134" fillId="8"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216" fillId="22" borderId="0" applyNumberFormat="0" applyBorder="0" applyAlignment="0" applyProtection="0"/>
    <xf numFmtId="0" fontId="135" fillId="12" borderId="0" applyNumberFormat="0" applyBorder="0" applyAlignment="0" applyProtection="0"/>
    <xf numFmtId="0" fontId="216" fillId="23" borderId="0" applyNumberFormat="0" applyBorder="0" applyAlignment="0" applyProtection="0"/>
    <xf numFmtId="0" fontId="135" fillId="24" borderId="0" applyNumberFormat="0" applyBorder="0" applyAlignment="0" applyProtection="0"/>
    <xf numFmtId="0" fontId="216" fillId="25" borderId="0" applyNumberFormat="0" applyBorder="0" applyAlignment="0" applyProtection="0"/>
    <xf numFmtId="0" fontId="135" fillId="26" borderId="0" applyNumberFormat="0" applyBorder="0" applyAlignment="0" applyProtection="0"/>
    <xf numFmtId="0" fontId="216" fillId="27" borderId="0" applyNumberFormat="0" applyBorder="0" applyAlignment="0" applyProtection="0"/>
    <xf numFmtId="0" fontId="135" fillId="19" borderId="0" applyNumberFormat="0" applyBorder="0" applyAlignment="0" applyProtection="0"/>
    <xf numFmtId="0" fontId="216" fillId="28" borderId="0" applyNumberFormat="0" applyBorder="0" applyAlignment="0" applyProtection="0"/>
    <xf numFmtId="0" fontId="135" fillId="12" borderId="0" applyNumberFormat="0" applyBorder="0" applyAlignment="0" applyProtection="0"/>
    <xf numFmtId="0" fontId="216" fillId="29" borderId="0" applyNumberFormat="0" applyBorder="0" applyAlignment="0" applyProtection="0"/>
    <xf numFmtId="0" fontId="135" fillId="6" borderId="0" applyNumberFormat="0" applyBorder="0" applyAlignment="0" applyProtection="0"/>
    <xf numFmtId="0" fontId="216" fillId="30" borderId="0" applyNumberFormat="0" applyBorder="0" applyAlignment="0" applyProtection="0"/>
    <xf numFmtId="0" fontId="135" fillId="31" borderId="0" applyNumberFormat="0" applyBorder="0" applyAlignment="0" applyProtection="0"/>
    <xf numFmtId="0" fontId="216" fillId="32" borderId="0" applyNumberFormat="0" applyBorder="0" applyAlignment="0" applyProtection="0"/>
    <xf numFmtId="0" fontId="135" fillId="24" borderId="0" applyNumberFormat="0" applyBorder="0" applyAlignment="0" applyProtection="0"/>
    <xf numFmtId="0" fontId="216" fillId="33" borderId="0" applyNumberFormat="0" applyBorder="0" applyAlignment="0" applyProtection="0"/>
    <xf numFmtId="0" fontId="135" fillId="26" borderId="0" applyNumberFormat="0" applyBorder="0" applyAlignment="0" applyProtection="0"/>
    <xf numFmtId="0" fontId="216" fillId="34" borderId="0" applyNumberFormat="0" applyBorder="0" applyAlignment="0" applyProtection="0"/>
    <xf numFmtId="0" fontId="135" fillId="35" borderId="0" applyNumberFormat="0" applyBorder="0" applyAlignment="0" applyProtection="0"/>
    <xf numFmtId="0" fontId="216" fillId="36" borderId="0" applyNumberFormat="0" applyBorder="0" applyAlignment="0" applyProtection="0"/>
    <xf numFmtId="0" fontId="135" fillId="37" borderId="0" applyNumberFormat="0" applyBorder="0" applyAlignment="0" applyProtection="0"/>
    <xf numFmtId="0" fontId="216" fillId="38" borderId="0" applyNumberFormat="0" applyBorder="0" applyAlignment="0" applyProtection="0"/>
    <xf numFmtId="0" fontId="135" fillId="39" borderId="0" applyNumberFormat="0" applyBorder="0" applyAlignment="0" applyProtection="0"/>
    <xf numFmtId="175" fontId="25" fillId="0" borderId="0" applyFont="0" applyFill="0" applyBorder="0" applyAlignment="0" applyProtection="0"/>
    <xf numFmtId="0" fontId="34" fillId="0" borderId="0" applyFont="0" applyFill="0" applyBorder="0" applyAlignment="0" applyProtection="0"/>
    <xf numFmtId="221" fontId="4" fillId="0" borderId="0" applyFont="0" applyFill="0" applyBorder="0" applyAlignment="0" applyProtection="0"/>
    <xf numFmtId="176" fontId="25" fillId="0" borderId="0" applyFont="0" applyFill="0" applyBorder="0" applyAlignment="0" applyProtection="0"/>
    <xf numFmtId="0" fontId="34" fillId="0" borderId="0" applyFont="0" applyFill="0" applyBorder="0" applyAlignment="0" applyProtection="0"/>
    <xf numFmtId="222" fontId="4" fillId="0" borderId="0" applyFont="0" applyFill="0" applyBorder="0" applyAlignment="0" applyProtection="0"/>
    <xf numFmtId="177" fontId="25" fillId="0" borderId="0" applyFont="0" applyFill="0" applyBorder="0" applyAlignment="0" applyProtection="0"/>
    <xf numFmtId="0" fontId="34" fillId="0" borderId="0" applyFont="0" applyFill="0" applyBorder="0" applyAlignment="0" applyProtection="0"/>
    <xf numFmtId="178" fontId="29" fillId="0" borderId="0" applyFont="0" applyFill="0" applyBorder="0" applyAlignment="0" applyProtection="0"/>
    <xf numFmtId="179" fontId="25" fillId="0" borderId="0" applyFont="0" applyFill="0" applyBorder="0" applyAlignment="0" applyProtection="0"/>
    <xf numFmtId="0" fontId="34" fillId="0" borderId="0" applyFont="0" applyFill="0" applyBorder="0" applyAlignment="0" applyProtection="0"/>
    <xf numFmtId="180" fontId="29" fillId="0" borderId="0" applyFont="0" applyFill="0" applyBorder="0" applyAlignment="0" applyProtection="0"/>
    <xf numFmtId="201" fontId="4" fillId="0" borderId="0" applyFont="0" applyFill="0" applyBorder="0" applyAlignment="0" applyProtection="0"/>
    <xf numFmtId="0" fontId="217" fillId="40" borderId="0" applyNumberFormat="0" applyBorder="0" applyAlignment="0" applyProtection="0"/>
    <xf numFmtId="0" fontId="137" fillId="41" borderId="0" applyNumberFormat="0" applyBorder="0" applyAlignment="0" applyProtection="0"/>
    <xf numFmtId="0" fontId="34" fillId="0" borderId="0">
      <alignment/>
      <protection/>
    </xf>
    <xf numFmtId="0" fontId="35" fillId="0" borderId="0">
      <alignment/>
      <protection/>
    </xf>
    <xf numFmtId="0" fontId="34" fillId="0" borderId="0">
      <alignment/>
      <protection/>
    </xf>
    <xf numFmtId="0" fontId="35" fillId="0" borderId="0">
      <alignment/>
      <protection/>
    </xf>
    <xf numFmtId="0" fontId="138" fillId="0" borderId="0">
      <alignment/>
      <protection/>
    </xf>
    <xf numFmtId="0" fontId="0" fillId="0" borderId="0" applyFill="0" applyBorder="0" applyAlignment="0">
      <protection/>
    </xf>
    <xf numFmtId="223" fontId="27" fillId="0" borderId="0" applyFill="0" applyBorder="0" applyAlignment="0">
      <protection/>
    </xf>
    <xf numFmtId="177" fontId="0" fillId="0" borderId="0" applyFill="0" applyBorder="0" applyAlignment="0">
      <protection/>
    </xf>
    <xf numFmtId="224" fontId="0" fillId="0" borderId="0" applyFill="0" applyBorder="0" applyAlignment="0">
      <protection/>
    </xf>
    <xf numFmtId="225" fontId="0" fillId="0" borderId="0" applyFill="0" applyBorder="0" applyAlignment="0">
      <protection/>
    </xf>
    <xf numFmtId="226" fontId="27" fillId="0" borderId="0" applyFill="0" applyBorder="0" applyAlignment="0">
      <protection/>
    </xf>
    <xf numFmtId="227" fontId="27" fillId="0" borderId="0" applyFill="0" applyBorder="0" applyAlignment="0">
      <protection/>
    </xf>
    <xf numFmtId="223" fontId="27" fillId="0" borderId="0" applyFill="0" applyBorder="0" applyAlignment="0">
      <protection/>
    </xf>
    <xf numFmtId="0" fontId="218" fillId="42" borderId="1" applyNumberFormat="0" applyAlignment="0" applyProtection="0"/>
    <xf numFmtId="0" fontId="139" fillId="43" borderId="2" applyNumberFormat="0" applyAlignment="0" applyProtection="0"/>
    <xf numFmtId="0" fontId="36" fillId="0" borderId="0">
      <alignment/>
      <protection/>
    </xf>
    <xf numFmtId="228" fontId="12"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226" fontId="27"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0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1" fontId="37" fillId="0" borderId="0">
      <alignment/>
      <protection/>
    </xf>
    <xf numFmtId="181" fontId="37" fillId="0" borderId="0">
      <alignment/>
      <protection/>
    </xf>
    <xf numFmtId="181" fontId="37" fillId="0" borderId="0">
      <alignment/>
      <protection/>
    </xf>
    <xf numFmtId="181" fontId="37" fillId="0" borderId="0">
      <alignment/>
      <protection/>
    </xf>
    <xf numFmtId="229" fontId="142"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43" fillId="0" borderId="0">
      <alignment horizontal="center"/>
      <protection/>
    </xf>
    <xf numFmtId="168" fontId="0" fillId="0" borderId="0" applyFont="0" applyFill="0" applyBorder="0" applyAlignment="0" applyProtection="0"/>
    <xf numFmtId="166" fontId="0" fillId="0" borderId="0" applyFont="0" applyFill="0" applyBorder="0" applyAlignment="0" applyProtection="0"/>
    <xf numFmtId="223" fontId="27"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3" fontId="0" fillId="0" borderId="0">
      <alignment/>
      <protection/>
    </xf>
    <xf numFmtId="183" fontId="0" fillId="0" borderId="0">
      <alignment/>
      <protection/>
    </xf>
    <xf numFmtId="183" fontId="0" fillId="0" borderId="0">
      <alignment/>
      <protection/>
    </xf>
    <xf numFmtId="183" fontId="0" fillId="0" borderId="0">
      <alignment/>
      <protection/>
    </xf>
    <xf numFmtId="183" fontId="0" fillId="0" borderId="0">
      <alignment/>
      <protection/>
    </xf>
    <xf numFmtId="230" fontId="142" fillId="0" borderId="0">
      <alignment/>
      <protection/>
    </xf>
    <xf numFmtId="0" fontId="219" fillId="44" borderId="3" applyNumberFormat="0" applyAlignment="0" applyProtection="0"/>
    <xf numFmtId="0" fontId="140" fillId="45" borderId="4" applyNumberFormat="0" applyAlignment="0" applyProtection="0"/>
    <xf numFmtId="170" fontId="55" fillId="0" borderId="0" applyFont="0" applyFill="0" applyBorder="0" applyAlignment="0" applyProtection="0"/>
    <xf numFmtId="1" fontId="141" fillId="0" borderId="5" applyBorder="0">
      <alignment/>
      <protection/>
    </xf>
    <xf numFmtId="184" fontId="25" fillId="0" borderId="6">
      <alignment/>
      <protection/>
    </xf>
    <xf numFmtId="184" fontId="25" fillId="0" borderId="6">
      <alignment/>
      <protection/>
    </xf>
    <xf numFmtId="184" fontId="25" fillId="0" borderId="6">
      <alignment/>
      <protection/>
    </xf>
    <xf numFmtId="184" fontId="25" fillId="0" borderId="6">
      <alignment/>
      <protection/>
    </xf>
    <xf numFmtId="184" fontId="25" fillId="0" borderId="6">
      <alignment/>
      <protection/>
    </xf>
    <xf numFmtId="184" fontId="25" fillId="0" borderId="6">
      <alignment/>
      <protection/>
    </xf>
    <xf numFmtId="184" fontId="25" fillId="0" borderId="6">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129" fillId="0" borderId="0" applyFill="0" applyBorder="0" applyAlignment="0">
      <protection/>
    </xf>
    <xf numFmtId="3" fontId="144" fillId="0" borderId="7">
      <alignment horizontal="left" vertical="top" wrapText="1"/>
      <protection/>
    </xf>
    <xf numFmtId="185" fontId="0" fillId="0" borderId="0" applyFont="0" applyFill="0" applyBorder="0" applyAlignment="0" applyProtection="0"/>
    <xf numFmtId="186" fontId="0" fillId="0" borderId="0" applyFont="0" applyFill="0" applyBorder="0" applyAlignment="0" applyProtection="0"/>
    <xf numFmtId="187" fontId="0" fillId="0" borderId="0">
      <alignment/>
      <protection/>
    </xf>
    <xf numFmtId="187" fontId="0" fillId="0" borderId="0">
      <alignment/>
      <protection/>
    </xf>
    <xf numFmtId="187" fontId="0" fillId="0" borderId="0">
      <alignment/>
      <protection/>
    </xf>
    <xf numFmtId="187" fontId="0" fillId="0" borderId="0">
      <alignment/>
      <protection/>
    </xf>
    <xf numFmtId="187" fontId="0" fillId="0" borderId="0">
      <alignment/>
      <protection/>
    </xf>
    <xf numFmtId="231" fontId="142" fillId="0" borderId="0">
      <alignment/>
      <protection/>
    </xf>
    <xf numFmtId="167" fontId="145" fillId="0" borderId="0" applyFont="0" applyFill="0" applyBorder="0" applyAlignment="0" applyProtection="0"/>
    <xf numFmtId="169"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232" fontId="0" fillId="0" borderId="0" applyFont="0" applyFill="0" applyBorder="0" applyAlignment="0" applyProtection="0"/>
    <xf numFmtId="232" fontId="0" fillId="0" borderId="0" applyFont="0" applyFill="0" applyBorder="0" applyAlignment="0" applyProtection="0"/>
    <xf numFmtId="232" fontId="0" fillId="0" borderId="0" applyFont="0" applyFill="0" applyBorder="0" applyAlignment="0" applyProtection="0"/>
    <xf numFmtId="232" fontId="0"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232" fontId="0" fillId="0" borderId="0" applyFont="0" applyFill="0" applyBorder="0" applyAlignment="0" applyProtection="0"/>
    <xf numFmtId="232" fontId="0" fillId="0" borderId="0" applyFont="0" applyFill="0" applyBorder="0" applyAlignment="0" applyProtection="0"/>
    <xf numFmtId="233" fontId="25" fillId="0" borderId="0" applyFont="0" applyFill="0" applyBorder="0" applyAlignment="0" applyProtection="0"/>
    <xf numFmtId="233" fontId="25" fillId="0" borderId="0" applyFont="0" applyFill="0" applyBorder="0" applyAlignment="0" applyProtection="0"/>
    <xf numFmtId="234" fontId="25" fillId="0" borderId="0" applyFont="0" applyFill="0" applyBorder="0" applyAlignment="0" applyProtection="0"/>
    <xf numFmtId="234" fontId="25"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167"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7" fontId="25" fillId="0" borderId="0" applyFont="0" applyFill="0" applyBorder="0" applyAlignment="0" applyProtection="0"/>
    <xf numFmtId="237" fontId="2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169" fontId="145" fillId="0" borderId="0" applyFont="0" applyFill="0" applyBorder="0" applyAlignment="0" applyProtection="0"/>
    <xf numFmtId="3" fontId="25" fillId="0" borderId="0" applyFont="0" applyBorder="0" applyAlignment="0">
      <protection/>
    </xf>
    <xf numFmtId="0" fontId="0" fillId="0" borderId="0" applyFill="0" applyBorder="0" applyAlignment="0">
      <protection/>
    </xf>
    <xf numFmtId="223" fontId="27" fillId="0" borderId="0" applyFill="0" applyBorder="0" applyAlignment="0">
      <protection/>
    </xf>
    <xf numFmtId="226" fontId="27" fillId="0" borderId="0" applyFill="0" applyBorder="0" applyAlignment="0">
      <protection/>
    </xf>
    <xf numFmtId="227" fontId="27" fillId="0" borderId="0" applyFill="0" applyBorder="0" applyAlignment="0">
      <protection/>
    </xf>
    <xf numFmtId="223" fontId="27" fillId="0" borderId="0" applyFill="0" applyBorder="0" applyAlignment="0">
      <protection/>
    </xf>
    <xf numFmtId="0" fontId="220" fillId="0" borderId="0" applyNumberFormat="0" applyFill="0" applyBorder="0" applyAlignment="0" applyProtection="0"/>
    <xf numFmtId="0" fontId="146" fillId="0" borderId="0" applyNumberFormat="0" applyFill="0" applyBorder="0" applyAlignment="0" applyProtection="0"/>
    <xf numFmtId="3" fontId="25" fillId="0" borderId="0" applyFont="0" applyBorder="0" applyAlignment="0">
      <protection/>
    </xf>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221"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Protection="0">
      <alignment vertical="center"/>
    </xf>
    <xf numFmtId="0" fontId="149" fillId="0" borderId="0" applyNumberFormat="0" applyFill="0" applyBorder="0" applyAlignment="0" applyProtection="0"/>
    <xf numFmtId="0" fontId="150" fillId="0" borderId="0" applyNumberFormat="0" applyFill="0" applyBorder="0" applyProtection="0">
      <alignment vertical="center"/>
    </xf>
    <xf numFmtId="0" fontId="151" fillId="0" borderId="0" applyNumberFormat="0" applyFill="0" applyBorder="0" applyAlignment="0" applyProtection="0"/>
    <xf numFmtId="0" fontId="152" fillId="0" borderId="0" applyNumberFormat="0" applyFill="0" applyBorder="0" applyAlignment="0" applyProtection="0"/>
    <xf numFmtId="238" fontId="153" fillId="0" borderId="8" applyNumberFormat="0" applyFill="0" applyBorder="0" applyAlignment="0" applyProtection="0"/>
    <xf numFmtId="0" fontId="154" fillId="0" borderId="0" applyNumberFormat="0" applyFill="0" applyBorder="0" applyAlignment="0" applyProtection="0"/>
    <xf numFmtId="0" fontId="222" fillId="46" borderId="0" applyNumberFormat="0" applyBorder="0" applyAlignment="0" applyProtection="0"/>
    <xf numFmtId="0" fontId="156" fillId="12" borderId="0" applyNumberFormat="0" applyBorder="0" applyAlignment="0" applyProtection="0"/>
    <xf numFmtId="38" fontId="38" fillId="43" borderId="0" applyNumberFormat="0" applyBorder="0" applyAlignment="0" applyProtection="0"/>
    <xf numFmtId="38" fontId="38" fillId="43" borderId="0" applyNumberFormat="0" applyBorder="0" applyAlignment="0" applyProtection="0"/>
    <xf numFmtId="38" fontId="38" fillId="43" borderId="0" applyNumberFormat="0" applyBorder="0" applyAlignment="0" applyProtection="0"/>
    <xf numFmtId="38" fontId="38" fillId="43" borderId="0" applyNumberFormat="0" applyBorder="0" applyAlignment="0" applyProtection="0"/>
    <xf numFmtId="38" fontId="38" fillId="2" borderId="0" applyNumberFormat="0" applyBorder="0" applyAlignment="0" applyProtection="0"/>
    <xf numFmtId="0" fontId="155" fillId="0" borderId="0">
      <alignment vertical="top" wrapText="1"/>
      <protection/>
    </xf>
    <xf numFmtId="0" fontId="157" fillId="0" borderId="0" applyNumberFormat="0" applyFont="0" applyBorder="0" applyAlignment="0">
      <protection/>
    </xf>
    <xf numFmtId="0" fontId="39" fillId="0" borderId="0">
      <alignment horizontal="left"/>
      <protection/>
    </xf>
    <xf numFmtId="0" fontId="40" fillId="0" borderId="9" applyNumberFormat="0" applyAlignment="0" applyProtection="0"/>
    <xf numFmtId="0" fontId="40" fillId="0" borderId="10">
      <alignment horizontal="left" vertical="center"/>
      <protection/>
    </xf>
    <xf numFmtId="0" fontId="223" fillId="0" borderId="11" applyNumberFormat="0" applyFill="0" applyAlignment="0" applyProtection="0"/>
    <xf numFmtId="0" fontId="158" fillId="0" borderId="0" applyNumberFormat="0" applyFill="0" applyBorder="0" applyAlignment="0" applyProtection="0"/>
    <xf numFmtId="0" fontId="224" fillId="0" borderId="12" applyNumberFormat="0" applyFill="0" applyAlignment="0" applyProtection="0"/>
    <xf numFmtId="0" fontId="40" fillId="0" borderId="0" applyNumberFormat="0" applyFill="0" applyBorder="0" applyAlignment="0" applyProtection="0"/>
    <xf numFmtId="0" fontId="225" fillId="0" borderId="13" applyNumberFormat="0" applyFill="0" applyAlignment="0" applyProtection="0"/>
    <xf numFmtId="0" fontId="159" fillId="0" borderId="14" applyNumberFormat="0" applyFill="0" applyAlignment="0" applyProtection="0"/>
    <xf numFmtId="0" fontId="225" fillId="0" borderId="0" applyNumberFormat="0" applyFill="0" applyBorder="0" applyAlignment="0" applyProtection="0"/>
    <xf numFmtId="0" fontId="159" fillId="0" borderId="0" applyNumberFormat="0" applyFill="0" applyBorder="0" applyAlignment="0" applyProtection="0"/>
    <xf numFmtId="188" fontId="41" fillId="0" borderId="0">
      <alignment/>
      <protection locked="0"/>
    </xf>
    <xf numFmtId="239" fontId="4" fillId="0" borderId="0">
      <alignment/>
      <protection locked="0"/>
    </xf>
    <xf numFmtId="188" fontId="41" fillId="0" borderId="0">
      <alignment/>
      <protection locked="0"/>
    </xf>
    <xf numFmtId="239" fontId="4" fillId="0" borderId="0">
      <alignment/>
      <protection locked="0"/>
    </xf>
    <xf numFmtId="164" fontId="160" fillId="47" borderId="15" applyNumberFormat="0" applyAlignment="0">
      <protection/>
    </xf>
    <xf numFmtId="0" fontId="226" fillId="0" borderId="0" applyNumberFormat="0" applyFill="0" applyBorder="0" applyAlignment="0" applyProtection="0"/>
    <xf numFmtId="0" fontId="161" fillId="0" borderId="0" applyNumberFormat="0" applyFill="0" applyBorder="0" applyAlignment="0" applyProtection="0"/>
    <xf numFmtId="174" fontId="25" fillId="0" borderId="0" applyFont="0" applyFill="0" applyBorder="0" applyAlignment="0" applyProtection="0"/>
    <xf numFmtId="38" fontId="42" fillId="0" borderId="0" applyFont="0" applyFill="0" applyBorder="0" applyAlignment="0" applyProtection="0"/>
    <xf numFmtId="167" fontId="12" fillId="0" borderId="0" applyFont="0" applyFill="0" applyBorder="0" applyAlignment="0" applyProtection="0"/>
    <xf numFmtId="240" fontId="136" fillId="0" borderId="0" applyFont="0" applyFill="0" applyBorder="0" applyAlignment="0" applyProtection="0"/>
    <xf numFmtId="0" fontId="227" fillId="48" borderId="1" applyNumberFormat="0" applyAlignment="0" applyProtection="0"/>
    <xf numFmtId="10" fontId="38" fillId="43" borderId="15" applyNumberFormat="0" applyBorder="0" applyAlignment="0" applyProtection="0"/>
    <xf numFmtId="10" fontId="38" fillId="43" borderId="15" applyNumberFormat="0" applyBorder="0" applyAlignment="0" applyProtection="0"/>
    <xf numFmtId="10" fontId="38" fillId="43" borderId="15" applyNumberFormat="0" applyBorder="0" applyAlignment="0" applyProtection="0"/>
    <xf numFmtId="10" fontId="38" fillId="43" borderId="15" applyNumberFormat="0" applyBorder="0" applyAlignment="0" applyProtection="0"/>
    <xf numFmtId="10" fontId="38" fillId="8" borderId="15" applyNumberFormat="0" applyBorder="0" applyAlignment="0" applyProtection="0"/>
    <xf numFmtId="0" fontId="162" fillId="17" borderId="2" applyNumberFormat="0" applyAlignment="0" applyProtection="0"/>
    <xf numFmtId="0" fontId="162" fillId="17" borderId="2" applyNumberFormat="0" applyAlignment="0" applyProtection="0"/>
    <xf numFmtId="0" fontId="162" fillId="17" borderId="2" applyNumberFormat="0" applyAlignment="0" applyProtection="0"/>
    <xf numFmtId="174" fontId="25" fillId="0" borderId="0" applyFon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pplyFill="0" applyBorder="0" applyAlignment="0">
      <protection/>
    </xf>
    <xf numFmtId="223" fontId="27" fillId="0" borderId="0" applyFill="0" applyBorder="0" applyAlignment="0">
      <protection/>
    </xf>
    <xf numFmtId="226" fontId="27" fillId="0" borderId="0" applyFill="0" applyBorder="0" applyAlignment="0">
      <protection/>
    </xf>
    <xf numFmtId="227" fontId="27" fillId="0" borderId="0" applyFill="0" applyBorder="0" applyAlignment="0">
      <protection/>
    </xf>
    <xf numFmtId="223" fontId="27" fillId="0" borderId="0" applyFill="0" applyBorder="0" applyAlignment="0">
      <protection/>
    </xf>
    <xf numFmtId="0" fontId="228" fillId="0" borderId="16" applyNumberFormat="0" applyFill="0" applyAlignment="0" applyProtection="0"/>
    <xf numFmtId="0" fontId="106" fillId="0" borderId="17" applyNumberFormat="0" applyFill="0" applyAlignment="0" applyProtection="0"/>
    <xf numFmtId="38" fontId="42" fillId="0" borderId="0" applyFon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43" fillId="0" borderId="18">
      <alignment/>
      <protection/>
    </xf>
    <xf numFmtId="171" fontId="44" fillId="0" borderId="19">
      <alignment/>
      <protection/>
    </xf>
    <xf numFmtId="241" fontId="0" fillId="0" borderId="19">
      <alignment/>
      <protection/>
    </xf>
    <xf numFmtId="189" fontId="42" fillId="0" borderId="0" applyFont="0" applyFill="0" applyBorder="0" applyAlignment="0" applyProtection="0"/>
    <xf numFmtId="190" fontId="42" fillId="0" borderId="0" applyFont="0" applyFill="0" applyBorder="0" applyAlignment="0" applyProtection="0"/>
    <xf numFmtId="242" fontId="42" fillId="0" borderId="0" applyFont="0" applyFill="0" applyBorder="0" applyAlignment="0" applyProtection="0"/>
    <xf numFmtId="243" fontId="42" fillId="0" borderId="0" applyFont="0" applyFill="0" applyBorder="0" applyAlignment="0" applyProtection="0"/>
    <xf numFmtId="0" fontId="45" fillId="0" borderId="0" applyNumberFormat="0" applyFont="0" applyFill="0" applyAlignment="0">
      <protection/>
    </xf>
    <xf numFmtId="0" fontId="229" fillId="49" borderId="0" applyNumberFormat="0" applyBorder="0" applyAlignment="0" applyProtection="0"/>
    <xf numFmtId="0" fontId="163" fillId="17"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37" fontId="46" fillId="0" borderId="0">
      <alignment/>
      <protection/>
    </xf>
    <xf numFmtId="37" fontId="46" fillId="0" borderId="0">
      <alignment/>
      <protection/>
    </xf>
    <xf numFmtId="37" fontId="46" fillId="0" borderId="0">
      <alignment/>
      <protection/>
    </xf>
    <xf numFmtId="37" fontId="46" fillId="0" borderId="0">
      <alignment/>
      <protection/>
    </xf>
    <xf numFmtId="0" fontId="164" fillId="0" borderId="15" applyNumberFormat="0" applyFont="0" applyFill="0" applyBorder="0" applyAlignment="0">
      <protection/>
    </xf>
    <xf numFmtId="191" fontId="47" fillId="0" borderId="0">
      <alignment/>
      <protection/>
    </xf>
    <xf numFmtId="0" fontId="52"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215" fillId="0" borderId="0">
      <alignment/>
      <protection/>
    </xf>
    <xf numFmtId="0" fontId="0" fillId="0" borderId="0">
      <alignment/>
      <protection/>
    </xf>
    <xf numFmtId="0" fontId="0" fillId="0" borderId="0">
      <alignment/>
      <protection/>
    </xf>
    <xf numFmtId="0" fontId="105" fillId="0" borderId="0">
      <alignment/>
      <protection/>
    </xf>
    <xf numFmtId="0" fontId="71" fillId="0" borderId="0">
      <alignment/>
      <protection/>
    </xf>
    <xf numFmtId="0" fontId="25" fillId="0" borderId="0">
      <alignment/>
      <protection/>
    </xf>
    <xf numFmtId="0" fontId="25" fillId="0" borderId="0">
      <alignment/>
      <protection/>
    </xf>
    <xf numFmtId="0" fontId="99" fillId="0" borderId="0">
      <alignment/>
      <protection/>
    </xf>
    <xf numFmtId="0" fontId="25" fillId="0" borderId="0">
      <alignment/>
      <protection/>
    </xf>
    <xf numFmtId="0" fontId="145" fillId="0" borderId="0">
      <alignment/>
      <protection/>
    </xf>
    <xf numFmtId="0" fontId="0" fillId="50" borderId="20" applyNumberFormat="0" applyFont="0" applyAlignment="0" applyProtection="0"/>
    <xf numFmtId="0" fontId="0" fillId="8" borderId="21" applyNumberFormat="0" applyFont="0" applyAlignment="0" applyProtection="0"/>
    <xf numFmtId="192" fontId="48" fillId="0" borderId="0" applyFont="0" applyFill="0" applyBorder="0" applyAlignment="0" applyProtection="0"/>
    <xf numFmtId="174" fontId="48"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Font="0" applyFill="0" applyBorder="0" applyAlignment="0" applyProtection="0"/>
    <xf numFmtId="0" fontId="37" fillId="0" borderId="0">
      <alignment/>
      <protection/>
    </xf>
    <xf numFmtId="0" fontId="230" fillId="42" borderId="22" applyNumberFormat="0" applyAlignment="0" applyProtection="0"/>
    <xf numFmtId="0" fontId="165" fillId="43" borderId="23" applyNumberFormat="0" applyAlignment="0" applyProtection="0"/>
    <xf numFmtId="9" fontId="0" fillId="0" borderId="0" applyFont="0" applyFill="0" applyBorder="0" applyAlignment="0" applyProtection="0"/>
    <xf numFmtId="225"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42" fillId="0" borderId="24" applyNumberFormat="0" applyBorder="0">
      <alignment/>
      <protection/>
    </xf>
    <xf numFmtId="0" fontId="0" fillId="0" borderId="0" applyFill="0" applyBorder="0" applyAlignment="0">
      <protection/>
    </xf>
    <xf numFmtId="223" fontId="27" fillId="0" borderId="0" applyFill="0" applyBorder="0" applyAlignment="0">
      <protection/>
    </xf>
    <xf numFmtId="226" fontId="27" fillId="0" borderId="0" applyFill="0" applyBorder="0" applyAlignment="0">
      <protection/>
    </xf>
    <xf numFmtId="227" fontId="27" fillId="0" borderId="0" applyFill="0" applyBorder="0" applyAlignment="0">
      <protection/>
    </xf>
    <xf numFmtId="223" fontId="27" fillId="0" borderId="0" applyFill="0" applyBorder="0" applyAlignment="0">
      <protection/>
    </xf>
    <xf numFmtId="0" fontId="166" fillId="0" borderId="0">
      <alignment/>
      <protection/>
    </xf>
    <xf numFmtId="0" fontId="42" fillId="0" borderId="0" applyNumberFormat="0" applyFont="0" applyFill="0" applyBorder="0" applyAlignment="0" applyProtection="0"/>
    <xf numFmtId="0" fontId="167" fillId="0" borderId="18">
      <alignment horizontal="center"/>
      <protection/>
    </xf>
    <xf numFmtId="167" fontId="1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 fontId="168" fillId="17" borderId="25" applyNumberFormat="0" applyProtection="0">
      <alignment vertical="center"/>
    </xf>
    <xf numFmtId="4" fontId="169" fillId="17" borderId="25" applyNumberFormat="0" applyProtection="0">
      <alignment vertical="center"/>
    </xf>
    <xf numFmtId="4" fontId="170" fillId="17" borderId="25" applyNumberFormat="0" applyProtection="0">
      <alignment horizontal="left" vertical="center" indent="1"/>
    </xf>
    <xf numFmtId="4" fontId="170" fillId="35" borderId="0" applyNumberFormat="0" applyProtection="0">
      <alignment horizontal="left" vertical="center" indent="1"/>
    </xf>
    <xf numFmtId="4" fontId="170" fillId="39" borderId="25" applyNumberFormat="0" applyProtection="0">
      <alignment horizontal="right" vertical="center"/>
    </xf>
    <xf numFmtId="4" fontId="170" fillId="19" borderId="25" applyNumberFormat="0" applyProtection="0">
      <alignment horizontal="right" vertical="center"/>
    </xf>
    <xf numFmtId="4" fontId="170" fillId="6" borderId="25" applyNumberFormat="0" applyProtection="0">
      <alignment horizontal="right" vertical="center"/>
    </xf>
    <xf numFmtId="4" fontId="170" fillId="51" borderId="25" applyNumberFormat="0" applyProtection="0">
      <alignment horizontal="right" vertical="center"/>
    </xf>
    <xf numFmtId="4" fontId="170" fillId="26" borderId="25" applyNumberFormat="0" applyProtection="0">
      <alignment horizontal="right" vertical="center"/>
    </xf>
    <xf numFmtId="4" fontId="170" fillId="10" borderId="25" applyNumberFormat="0" applyProtection="0">
      <alignment horizontal="right" vertical="center"/>
    </xf>
    <xf numFmtId="4" fontId="170" fillId="52" borderId="25" applyNumberFormat="0" applyProtection="0">
      <alignment horizontal="right" vertical="center"/>
    </xf>
    <xf numFmtId="4" fontId="170" fillId="53" borderId="25" applyNumberFormat="0" applyProtection="0">
      <alignment horizontal="right" vertical="center"/>
    </xf>
    <xf numFmtId="4" fontId="170" fillId="54" borderId="25" applyNumberFormat="0" applyProtection="0">
      <alignment horizontal="right" vertical="center"/>
    </xf>
    <xf numFmtId="4" fontId="168" fillId="55" borderId="26" applyNumberFormat="0" applyProtection="0">
      <alignment horizontal="left" vertical="center" indent="1"/>
    </xf>
    <xf numFmtId="4" fontId="168" fillId="4" borderId="0" applyNumberFormat="0" applyProtection="0">
      <alignment horizontal="left" vertical="center" indent="1"/>
    </xf>
    <xf numFmtId="4" fontId="168" fillId="35" borderId="0" applyNumberFormat="0" applyProtection="0">
      <alignment horizontal="left" vertical="center" indent="1"/>
    </xf>
    <xf numFmtId="4" fontId="170" fillId="4" borderId="25" applyNumberFormat="0" applyProtection="0">
      <alignment horizontal="right" vertical="center"/>
    </xf>
    <xf numFmtId="4" fontId="129" fillId="4" borderId="0" applyNumberFormat="0" applyProtection="0">
      <alignment horizontal="left" vertical="center" indent="1"/>
    </xf>
    <xf numFmtId="4" fontId="129" fillId="35" borderId="0" applyNumberFormat="0" applyProtection="0">
      <alignment horizontal="left" vertical="center" indent="1"/>
    </xf>
    <xf numFmtId="4" fontId="170" fillId="56" borderId="25" applyNumberFormat="0" applyProtection="0">
      <alignment vertical="center"/>
    </xf>
    <xf numFmtId="4" fontId="171" fillId="56" borderId="25" applyNumberFormat="0" applyProtection="0">
      <alignment vertical="center"/>
    </xf>
    <xf numFmtId="4" fontId="168" fillId="4" borderId="27" applyNumberFormat="0" applyProtection="0">
      <alignment horizontal="left" vertical="center" indent="1"/>
    </xf>
    <xf numFmtId="4" fontId="170" fillId="56" borderId="25" applyNumberFormat="0" applyProtection="0">
      <alignment horizontal="right" vertical="center"/>
    </xf>
    <xf numFmtId="4" fontId="171" fillId="56" borderId="25" applyNumberFormat="0" applyProtection="0">
      <alignment horizontal="right" vertical="center"/>
    </xf>
    <xf numFmtId="4" fontId="168" fillId="4" borderId="25" applyNumberFormat="0" applyProtection="0">
      <alignment horizontal="left" vertical="center" indent="1"/>
    </xf>
    <xf numFmtId="4" fontId="172" fillId="47" borderId="27" applyNumberFormat="0" applyProtection="0">
      <alignment horizontal="left" vertical="center" indent="1"/>
    </xf>
    <xf numFmtId="4" fontId="173" fillId="56" borderId="25" applyNumberFormat="0" applyProtection="0">
      <alignment horizontal="right" vertical="center"/>
    </xf>
    <xf numFmtId="3" fontId="4" fillId="0" borderId="0">
      <alignment/>
      <protection/>
    </xf>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74" fontId="12" fillId="0" borderId="0" applyFont="0" applyFill="0" applyBorder="0" applyAlignment="0" applyProtection="0"/>
    <xf numFmtId="219"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0" fontId="5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9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219" fontId="12" fillId="0" borderId="0" applyFont="0" applyFill="0" applyBorder="0" applyAlignment="0" applyProtection="0"/>
    <xf numFmtId="167" fontId="12" fillId="0" borderId="0" applyFont="0" applyFill="0" applyBorder="0" applyAlignment="0" applyProtection="0"/>
    <xf numFmtId="205" fontId="12" fillId="0" borderId="0" applyFont="0" applyFill="0" applyBorder="0" applyAlignment="0" applyProtection="0"/>
    <xf numFmtId="205" fontId="12" fillId="0" borderId="0" applyFont="0" applyFill="0" applyBorder="0" applyAlignment="0" applyProtection="0"/>
    <xf numFmtId="16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214" fontId="12" fillId="0" borderId="0" applyFont="0" applyFill="0" applyBorder="0" applyAlignment="0" applyProtection="0"/>
    <xf numFmtId="219"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7" fontId="12" fillId="0" borderId="0" applyFont="0" applyFill="0" applyBorder="0" applyAlignment="0" applyProtection="0"/>
    <xf numFmtId="194" fontId="12" fillId="0" borderId="0" applyFont="0" applyFill="0" applyBorder="0" applyAlignment="0" applyProtection="0"/>
    <xf numFmtId="218" fontId="4" fillId="0" borderId="0" applyFont="0" applyFill="0" applyBorder="0" applyAlignment="0" applyProtection="0"/>
    <xf numFmtId="218"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174" fontId="12" fillId="0" borderId="0" applyFont="0" applyFill="0" applyBorder="0" applyAlignment="0" applyProtection="0"/>
    <xf numFmtId="0" fontId="50" fillId="0" borderId="0">
      <alignment/>
      <protection/>
    </xf>
    <xf numFmtId="0" fontId="43" fillId="0" borderId="0">
      <alignment/>
      <protection/>
    </xf>
    <xf numFmtId="0" fontId="174" fillId="0" borderId="0">
      <alignment/>
      <protection/>
    </xf>
    <xf numFmtId="193" fontId="25" fillId="0" borderId="28">
      <alignment horizontal="right" vertical="center"/>
      <protection/>
    </xf>
    <xf numFmtId="193" fontId="25" fillId="0" borderId="28">
      <alignment horizontal="right" vertical="center"/>
      <protection/>
    </xf>
    <xf numFmtId="193" fontId="25" fillId="0" borderId="28">
      <alignment horizontal="right" vertical="center"/>
      <protection/>
    </xf>
    <xf numFmtId="193" fontId="25" fillId="0" borderId="28">
      <alignment horizontal="right" vertical="center"/>
      <protection/>
    </xf>
    <xf numFmtId="193" fontId="25" fillId="0" borderId="28">
      <alignment horizontal="right" vertical="center"/>
      <protection/>
    </xf>
    <xf numFmtId="193" fontId="25" fillId="0" borderId="28">
      <alignment horizontal="right" vertical="center"/>
      <protection/>
    </xf>
    <xf numFmtId="244" fontId="49" fillId="0" borderId="28">
      <alignment horizontal="right" vertical="center"/>
      <protection/>
    </xf>
    <xf numFmtId="241" fontId="175" fillId="0" borderId="28">
      <alignment horizontal="right" vertical="center"/>
      <protection/>
    </xf>
    <xf numFmtId="215" fontId="25" fillId="0" borderId="28">
      <alignment horizontal="right" vertical="center"/>
      <protection/>
    </xf>
    <xf numFmtId="245" fontId="12" fillId="0" borderId="28">
      <alignment horizontal="right" vertical="center"/>
      <protection/>
    </xf>
    <xf numFmtId="215" fontId="25" fillId="0" borderId="28">
      <alignment horizontal="right" vertical="center"/>
      <protection/>
    </xf>
    <xf numFmtId="215" fontId="25" fillId="0" borderId="28">
      <alignment horizontal="right" vertical="center"/>
      <protection/>
    </xf>
    <xf numFmtId="245" fontId="12" fillId="0" borderId="28">
      <alignment horizontal="right" vertical="center"/>
      <protection/>
    </xf>
    <xf numFmtId="245" fontId="12" fillId="0" borderId="28">
      <alignment horizontal="right" vertical="center"/>
      <protection/>
    </xf>
    <xf numFmtId="246" fontId="25" fillId="0" borderId="28">
      <alignment horizontal="right" vertical="center"/>
      <protection/>
    </xf>
    <xf numFmtId="193" fontId="25" fillId="0" borderId="28">
      <alignment horizontal="right" vertical="center"/>
      <protection/>
    </xf>
    <xf numFmtId="246" fontId="25" fillId="0" borderId="28">
      <alignment horizontal="right" vertical="center"/>
      <protection/>
    </xf>
    <xf numFmtId="49" fontId="129" fillId="0" borderId="0" applyFill="0" applyBorder="0" applyAlignment="0">
      <protection/>
    </xf>
    <xf numFmtId="0" fontId="0" fillId="0" borderId="0" applyFill="0" applyBorder="0" applyAlignment="0">
      <protection/>
    </xf>
    <xf numFmtId="247" fontId="0" fillId="0" borderId="0" applyFill="0" applyBorder="0" applyAlignment="0">
      <protection/>
    </xf>
    <xf numFmtId="0" fontId="231" fillId="0" borderId="0" applyNumberFormat="0" applyFill="0" applyBorder="0" applyAlignment="0" applyProtection="0"/>
    <xf numFmtId="0" fontId="176" fillId="0" borderId="0" applyNumberFormat="0" applyFill="0" applyBorder="0" applyAlignment="0" applyProtection="0"/>
    <xf numFmtId="0" fontId="232" fillId="0" borderId="29" applyNumberFormat="0" applyFill="0" applyAlignment="0" applyProtection="0"/>
    <xf numFmtId="0" fontId="0" fillId="0" borderId="30" applyNumberFormat="0" applyFont="0" applyFill="0" applyAlignment="0" applyProtection="0"/>
    <xf numFmtId="0" fontId="177" fillId="0" borderId="31">
      <alignment horizontal="center"/>
      <protection/>
    </xf>
    <xf numFmtId="194" fontId="25" fillId="0" borderId="28">
      <alignment horizontal="center"/>
      <protection/>
    </xf>
    <xf numFmtId="194" fontId="25" fillId="0" borderId="28">
      <alignment horizontal="center"/>
      <protection/>
    </xf>
    <xf numFmtId="194" fontId="25" fillId="0" borderId="28">
      <alignment horizontal="center"/>
      <protection/>
    </xf>
    <xf numFmtId="194" fontId="25" fillId="0" borderId="28">
      <alignment horizontal="center"/>
      <protection/>
    </xf>
    <xf numFmtId="194" fontId="25" fillId="0" borderId="28">
      <alignment horizontal="center"/>
      <protection/>
    </xf>
    <xf numFmtId="194" fontId="25" fillId="0" borderId="28">
      <alignment horizontal="center"/>
      <protection/>
    </xf>
    <xf numFmtId="218" fontId="49" fillId="0" borderId="28">
      <alignment horizontal="center"/>
      <protection/>
    </xf>
    <xf numFmtId="194" fontId="25" fillId="0" borderId="28">
      <alignment horizontal="center"/>
      <protection/>
    </xf>
    <xf numFmtId="0" fontId="155" fillId="0" borderId="32">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0" borderId="0" applyNumberFormat="0" applyFill="0" applyBorder="0" applyAlignment="0" applyProtection="0"/>
    <xf numFmtId="236" fontId="136" fillId="0" borderId="0" applyFont="0" applyFill="0" applyBorder="0" applyAlignment="0" applyProtection="0"/>
    <xf numFmtId="195" fontId="25" fillId="0" borderId="0">
      <alignment/>
      <protection/>
    </xf>
    <xf numFmtId="195" fontId="25" fillId="0" borderId="0">
      <alignment/>
      <protection/>
    </xf>
    <xf numFmtId="195" fontId="25" fillId="0" borderId="0">
      <alignment/>
      <protection/>
    </xf>
    <xf numFmtId="195" fontId="25" fillId="0" borderId="0">
      <alignment/>
      <protection/>
    </xf>
    <xf numFmtId="195" fontId="25" fillId="0" borderId="0">
      <alignment/>
      <protection/>
    </xf>
    <xf numFmtId="195" fontId="25" fillId="0" borderId="0">
      <alignment/>
      <protection/>
    </xf>
    <xf numFmtId="247" fontId="49" fillId="0" borderId="0">
      <alignment/>
      <protection/>
    </xf>
    <xf numFmtId="195" fontId="25" fillId="0" borderId="0">
      <alignment/>
      <protection/>
    </xf>
    <xf numFmtId="196" fontId="25" fillId="0" borderId="15">
      <alignment/>
      <protection/>
    </xf>
    <xf numFmtId="196" fontId="25" fillId="0" borderId="15">
      <alignment/>
      <protection/>
    </xf>
    <xf numFmtId="196" fontId="25" fillId="0" borderId="15">
      <alignment/>
      <protection/>
    </xf>
    <xf numFmtId="196" fontId="25" fillId="0" borderId="15">
      <alignment/>
      <protection/>
    </xf>
    <xf numFmtId="196" fontId="25" fillId="0" borderId="15">
      <alignment/>
      <protection/>
    </xf>
    <xf numFmtId="196" fontId="25" fillId="0" borderId="15">
      <alignment/>
      <protection/>
    </xf>
    <xf numFmtId="248" fontId="49" fillId="0" borderId="15">
      <alignment/>
      <protection/>
    </xf>
    <xf numFmtId="196" fontId="25" fillId="0" borderId="15">
      <alignment/>
      <protection/>
    </xf>
    <xf numFmtId="0" fontId="178" fillId="0" borderId="0">
      <alignment/>
      <protection/>
    </xf>
    <xf numFmtId="164" fontId="179" fillId="57" borderId="33">
      <alignment vertical="top"/>
      <protection/>
    </xf>
    <xf numFmtId="164" fontId="33" fillId="0" borderId="7">
      <alignment horizontal="left" vertical="top"/>
      <protection/>
    </xf>
    <xf numFmtId="0" fontId="183" fillId="0" borderId="7">
      <alignment horizontal="left" vertical="center"/>
      <protection/>
    </xf>
    <xf numFmtId="0" fontId="180" fillId="58" borderId="15">
      <alignment horizontal="left" vertical="center"/>
      <protection/>
    </xf>
    <xf numFmtId="165" fontId="181" fillId="59" borderId="33">
      <alignment/>
      <protection/>
    </xf>
    <xf numFmtId="249" fontId="160" fillId="0" borderId="33">
      <alignment horizontal="left" vertical="top"/>
      <protection/>
    </xf>
    <xf numFmtId="0" fontId="182" fillId="60" borderId="0">
      <alignment horizontal="left" vertical="center"/>
      <protection/>
    </xf>
    <xf numFmtId="197" fontId="0" fillId="0" borderId="0" applyFont="0" applyFill="0" applyBorder="0" applyAlignment="0" applyProtection="0"/>
    <xf numFmtId="198" fontId="0" fillId="0" borderId="0" applyFont="0" applyFill="0" applyBorder="0" applyAlignment="0" applyProtection="0"/>
    <xf numFmtId="166" fontId="145" fillId="0" borderId="0" applyFont="0" applyFill="0" applyBorder="0" applyAlignment="0" applyProtection="0"/>
    <xf numFmtId="168" fontId="145" fillId="0" borderId="0" applyFont="0" applyFill="0" applyBorder="0" applyAlignment="0" applyProtection="0"/>
    <xf numFmtId="0" fontId="233" fillId="0" borderId="0" applyNumberFormat="0" applyFill="0" applyBorder="0" applyAlignment="0" applyProtection="0"/>
    <xf numFmtId="0" fontId="106" fillId="0" borderId="0" applyNumberFormat="0" applyFill="0" applyBorder="0" applyAlignment="0" applyProtection="0"/>
    <xf numFmtId="0" fontId="184" fillId="0" borderId="0" applyNumberFormat="0" applyFill="0" applyBorder="0" applyAlignment="0" applyProtection="0"/>
    <xf numFmtId="174" fontId="25"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9" fillId="0" borderId="0">
      <alignment vertical="center"/>
      <protection/>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Font="0" applyFill="0" applyBorder="0" applyAlignment="0" applyProtection="0"/>
    <xf numFmtId="0" fontId="53"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2" fillId="0" borderId="0" applyFont="0" applyFill="0" applyBorder="0" applyAlignment="0" applyProtection="0"/>
    <xf numFmtId="0" fontId="52"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0" fontId="56" fillId="0" borderId="0">
      <alignment/>
      <protection/>
    </xf>
    <xf numFmtId="0" fontId="185" fillId="0" borderId="0">
      <alignment/>
      <protection/>
    </xf>
    <xf numFmtId="0" fontId="45" fillId="0" borderId="0">
      <alignment/>
      <protection/>
    </xf>
    <xf numFmtId="174" fontId="54" fillId="0" borderId="0" applyFont="0" applyFill="0" applyBorder="0" applyAlignment="0" applyProtection="0"/>
    <xf numFmtId="192" fontId="54" fillId="0" borderId="0" applyFont="0" applyFill="0" applyBorder="0" applyAlignment="0" applyProtection="0"/>
    <xf numFmtId="250" fontId="186" fillId="0" borderId="0" applyFont="0" applyFill="0" applyBorder="0" applyAlignment="0" applyProtection="0"/>
    <xf numFmtId="0" fontId="37" fillId="0" borderId="0">
      <alignment/>
      <protection/>
    </xf>
    <xf numFmtId="201" fontId="54" fillId="0" borderId="0" applyFont="0" applyFill="0" applyBorder="0" applyAlignment="0" applyProtection="0"/>
    <xf numFmtId="189" fontId="57" fillId="0" borderId="0" applyFont="0" applyFill="0" applyBorder="0" applyAlignment="0" applyProtection="0"/>
    <xf numFmtId="202" fontId="54" fillId="0" borderId="0" applyFont="0" applyFill="0" applyBorder="0" applyAlignment="0" applyProtection="0"/>
  </cellStyleXfs>
  <cellXfs count="733">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center" vertical="center" wrapText="1"/>
    </xf>
    <xf numFmtId="0" fontId="5" fillId="0" borderId="19" xfId="0" applyFont="1" applyFill="1" applyBorder="1" applyAlignment="1">
      <alignment horizontal="center" vertical="center" wrapText="1"/>
    </xf>
    <xf numFmtId="0" fontId="8" fillId="0" borderId="0" xfId="0" applyFont="1" applyAlignment="1">
      <alignment horizontal="center" vertical="center" wrapText="1"/>
    </xf>
    <xf numFmtId="170" fontId="9" fillId="0" borderId="0" xfId="381" applyNumberFormat="1" applyFont="1" applyFill="1" applyBorder="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5" fillId="0" borderId="34" xfId="0" applyFont="1" applyFill="1" applyBorder="1" applyAlignment="1">
      <alignment horizontal="center" vertical="center" wrapText="1"/>
    </xf>
    <xf numFmtId="0" fontId="5" fillId="0" borderId="34" xfId="0" applyFont="1" applyFill="1" applyBorder="1" applyAlignment="1">
      <alignment horizontal="left" vertical="center" wrapText="1"/>
    </xf>
    <xf numFmtId="0" fontId="5" fillId="0" borderId="34" xfId="0" applyFont="1" applyBorder="1" applyAlignment="1">
      <alignment horizontal="center" vertical="center" wrapText="1"/>
    </xf>
    <xf numFmtId="0" fontId="12" fillId="0" borderId="34" xfId="0" applyFont="1" applyFill="1" applyBorder="1" applyAlignment="1">
      <alignment horizontal="center" vertical="center" wrapText="1"/>
    </xf>
    <xf numFmtId="170" fontId="5" fillId="0" borderId="34" xfId="0" applyNumberFormat="1" applyFont="1" applyFill="1" applyBorder="1" applyAlignment="1">
      <alignment horizontal="right"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169" fontId="10" fillId="0" borderId="0" xfId="0" applyNumberFormat="1" applyFont="1" applyFill="1" applyAlignment="1">
      <alignment horizontal="center" vertical="center" wrapText="1"/>
    </xf>
    <xf numFmtId="170" fontId="10" fillId="0" borderId="0" xfId="0" applyNumberFormat="1" applyFont="1" applyFill="1" applyAlignment="1">
      <alignment horizontal="center" vertical="center" wrapText="1"/>
    </xf>
    <xf numFmtId="170" fontId="11"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0" fontId="5" fillId="0" borderId="34" xfId="0" applyFont="1" applyBorder="1" applyAlignment="1">
      <alignment vertical="center" wrapText="1"/>
    </xf>
    <xf numFmtId="0" fontId="12" fillId="0" borderId="34" xfId="0" applyFont="1" applyBorder="1" applyAlignment="1">
      <alignment horizontal="center" vertical="center" wrapText="1"/>
    </xf>
    <xf numFmtId="170" fontId="5" fillId="0" borderId="34" xfId="0" applyNumberFormat="1" applyFont="1" applyBorder="1" applyAlignment="1">
      <alignment horizontal="right" vertical="center" wrapText="1"/>
    </xf>
    <xf numFmtId="0" fontId="5" fillId="0" borderId="34" xfId="0" applyFont="1" applyBorder="1" applyAlignment="1">
      <alignment horizontal="right" vertical="center" wrapText="1"/>
    </xf>
    <xf numFmtId="0" fontId="8" fillId="0" borderId="0" xfId="0" applyFont="1" applyAlignment="1">
      <alignment vertical="center" wrapText="1"/>
    </xf>
    <xf numFmtId="0" fontId="8" fillId="61" borderId="0" xfId="0" applyFont="1" applyFill="1" applyAlignment="1">
      <alignment horizontal="right" vertical="center" wrapText="1"/>
    </xf>
    <xf numFmtId="0" fontId="10" fillId="0" borderId="0" xfId="0" applyFont="1" applyAlignment="1">
      <alignment horizontal="right" vertical="center" wrapText="1"/>
    </xf>
    <xf numFmtId="170" fontId="10" fillId="0" borderId="0" xfId="0" applyNumberFormat="1" applyFont="1" applyAlignment="1">
      <alignment vertical="center" wrapText="1"/>
    </xf>
    <xf numFmtId="0" fontId="10" fillId="0" borderId="0" xfId="0" applyFont="1" applyAlignment="1">
      <alignment vertical="center" wrapText="1"/>
    </xf>
    <xf numFmtId="170" fontId="11" fillId="0" borderId="0" xfId="381" applyNumberFormat="1" applyFont="1" applyAlignment="1">
      <alignment vertical="center" wrapText="1"/>
    </xf>
    <xf numFmtId="0" fontId="11" fillId="0" borderId="0" xfId="0" applyFont="1" applyAlignment="1">
      <alignment vertical="center" wrapText="1"/>
    </xf>
    <xf numFmtId="0" fontId="8" fillId="0" borderId="0" xfId="0" applyFont="1" applyAlignment="1">
      <alignment horizontal="right" vertical="center" wrapText="1"/>
    </xf>
    <xf numFmtId="0" fontId="12" fillId="0" borderId="34" xfId="0" applyFont="1" applyBorder="1" applyAlignment="1">
      <alignment vertical="center" wrapText="1"/>
    </xf>
    <xf numFmtId="170" fontId="12" fillId="0" borderId="34" xfId="0" applyNumberFormat="1" applyFont="1" applyBorder="1" applyAlignment="1">
      <alignment horizontal="right" vertical="center" wrapText="1"/>
    </xf>
    <xf numFmtId="0" fontId="12" fillId="0" borderId="34" xfId="0" applyFont="1" applyBorder="1" applyAlignment="1">
      <alignment horizontal="right" vertical="center" wrapText="1"/>
    </xf>
    <xf numFmtId="170" fontId="12" fillId="0" borderId="34" xfId="381" applyNumberFormat="1" applyFont="1" applyFill="1" applyBorder="1" applyAlignment="1">
      <alignment horizontal="right" vertical="center" wrapText="1"/>
    </xf>
    <xf numFmtId="0" fontId="9" fillId="0" borderId="0" xfId="0" applyFont="1" applyAlignment="1">
      <alignment vertical="center" wrapText="1"/>
    </xf>
    <xf numFmtId="170" fontId="11" fillId="0" borderId="0" xfId="0" applyNumberFormat="1" applyFont="1" applyAlignment="1">
      <alignment vertical="center" wrapText="1"/>
    </xf>
    <xf numFmtId="169" fontId="11" fillId="0" borderId="0" xfId="381" applyFont="1" applyAlignment="1">
      <alignment vertical="center" wrapText="1"/>
    </xf>
    <xf numFmtId="0" fontId="12" fillId="0" borderId="34" xfId="0" applyFont="1" applyBorder="1" applyAlignment="1">
      <alignment horizontal="center"/>
    </xf>
    <xf numFmtId="170" fontId="12" fillId="0" borderId="34" xfId="381" applyNumberFormat="1" applyFont="1" applyBorder="1" applyAlignment="1">
      <alignment horizontal="right" vertical="center" wrapText="1"/>
    </xf>
    <xf numFmtId="170" fontId="5" fillId="0" borderId="34" xfId="381" applyNumberFormat="1" applyFont="1" applyBorder="1" applyAlignment="1">
      <alignment horizontal="right" vertical="center" wrapText="1"/>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170" fontId="5" fillId="0" borderId="35" xfId="381" applyNumberFormat="1" applyFont="1" applyFill="1" applyBorder="1" applyAlignment="1">
      <alignment horizontal="right" vertical="center" wrapText="1"/>
    </xf>
    <xf numFmtId="0" fontId="15" fillId="0" borderId="0" xfId="0" applyFont="1" applyAlignment="1">
      <alignment horizontal="centerContinuous" vertical="center" wrapText="1"/>
    </xf>
    <xf numFmtId="0" fontId="5" fillId="0" borderId="0" xfId="0" applyFont="1" applyFill="1" applyBorder="1" applyAlignment="1">
      <alignment horizontal="centerContinuous" vertical="center" wrapText="1"/>
    </xf>
    <xf numFmtId="170" fontId="5" fillId="0" borderId="0" xfId="381" applyNumberFormat="1" applyFont="1" applyFill="1" applyBorder="1" applyAlignment="1">
      <alignment horizontal="centerContinuous" vertical="center" wrapText="1"/>
    </xf>
    <xf numFmtId="0" fontId="4" fillId="0" borderId="0" xfId="0" applyFont="1" applyAlignment="1">
      <alignment horizontal="centerContinuous" vertical="center" wrapText="1"/>
    </xf>
    <xf numFmtId="0" fontId="17" fillId="0" borderId="0" xfId="0" applyFont="1" applyAlignment="1">
      <alignment vertical="center" wrapText="1"/>
    </xf>
    <xf numFmtId="0" fontId="12" fillId="0" borderId="0" xfId="0" applyFont="1" applyAlignment="1">
      <alignment horizontal="center" vertical="center" wrapText="1"/>
    </xf>
    <xf numFmtId="0" fontId="5" fillId="0" borderId="0" xfId="0" applyFont="1" applyBorder="1" applyAlignment="1">
      <alignment horizontal="centerContinuous" vertical="center" wrapText="1"/>
    </xf>
    <xf numFmtId="0" fontId="17" fillId="0" borderId="0" xfId="0" applyFont="1" applyAlignment="1">
      <alignment horizontal="centerContinuous" vertical="center" wrapText="1"/>
    </xf>
    <xf numFmtId="0" fontId="1" fillId="0" borderId="0" xfId="0" applyFont="1" applyBorder="1" applyAlignment="1">
      <alignment horizontal="centerContinuous" vertical="center"/>
    </xf>
    <xf numFmtId="0" fontId="1" fillId="0" borderId="0" xfId="0" applyFont="1" applyAlignment="1">
      <alignment vertical="center" wrapText="1"/>
    </xf>
    <xf numFmtId="0" fontId="5" fillId="0" borderId="0" xfId="0" applyFont="1" applyBorder="1" applyAlignment="1">
      <alignment horizontal="centerContinuous" vertical="center"/>
    </xf>
    <xf numFmtId="0" fontId="5" fillId="0" borderId="0" xfId="0" applyFont="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170" fontId="4" fillId="0" borderId="0" xfId="381" applyNumberFormat="1" applyFont="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170" fontId="5" fillId="0" borderId="0" xfId="381" applyNumberFormat="1" applyFont="1" applyBorder="1" applyAlignment="1">
      <alignment horizontal="center" vertical="center"/>
    </xf>
    <xf numFmtId="170" fontId="5" fillId="0" borderId="0" xfId="0" applyNumberFormat="1" applyFont="1" applyBorder="1" applyAlignment="1">
      <alignment horizontal="center" vertical="center" wrapText="1"/>
    </xf>
    <xf numFmtId="170" fontId="5" fillId="0" borderId="37" xfId="0" applyNumberFormat="1" applyFont="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Border="1" applyAlignment="1">
      <alignment horizontal="center" vertical="center"/>
    </xf>
    <xf numFmtId="170" fontId="12" fillId="0" borderId="0" xfId="381" applyNumberFormat="1" applyFont="1" applyBorder="1" applyAlignment="1">
      <alignment horizontal="center" vertical="center"/>
    </xf>
    <xf numFmtId="169" fontId="12" fillId="0" borderId="0" xfId="381" applyFont="1" applyBorder="1" applyAlignment="1">
      <alignment horizontal="center" vertical="center" wrapText="1"/>
    </xf>
    <xf numFmtId="170" fontId="12" fillId="0" borderId="0" xfId="0" applyNumberFormat="1" applyFont="1" applyBorder="1" applyAlignment="1">
      <alignment horizontal="center" vertical="center" wrapText="1"/>
    </xf>
    <xf numFmtId="170" fontId="4" fillId="0" borderId="0" xfId="381" applyNumberFormat="1" applyFont="1" applyBorder="1" applyAlignment="1">
      <alignment horizontal="center" vertical="center" wrapText="1"/>
    </xf>
    <xf numFmtId="169" fontId="4" fillId="0" borderId="0" xfId="381" applyFont="1" applyBorder="1" applyAlignment="1">
      <alignment horizontal="right" vertical="top" wrapText="1"/>
    </xf>
    <xf numFmtId="170" fontId="5" fillId="0" borderId="0" xfId="0" applyNumberFormat="1" applyFont="1" applyBorder="1" applyAlignment="1">
      <alignment vertical="center"/>
    </xf>
    <xf numFmtId="169" fontId="4" fillId="0" borderId="0" xfId="381" applyFont="1" applyBorder="1" applyAlignment="1">
      <alignment horizontal="center" vertical="center" wrapText="1"/>
    </xf>
    <xf numFmtId="170" fontId="5" fillId="0" borderId="0" xfId="381" applyNumberFormat="1" applyFont="1" applyFill="1" applyBorder="1" applyAlignment="1">
      <alignment horizontal="center" vertical="center"/>
    </xf>
    <xf numFmtId="170" fontId="5" fillId="0" borderId="0" xfId="381"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69" fontId="4" fillId="0" borderId="0" xfId="381" applyFont="1" applyAlignment="1">
      <alignment horizontal="center" vertical="center" wrapText="1"/>
    </xf>
    <xf numFmtId="0" fontId="1"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0" fontId="18" fillId="0" borderId="0" xfId="0" applyFont="1" applyAlignment="1">
      <alignment horizontal="centerContinuous" vertical="center" wrapText="1"/>
    </xf>
    <xf numFmtId="0" fontId="18" fillId="0" borderId="19" xfId="0" applyFont="1" applyBorder="1" applyAlignment="1">
      <alignment horizontal="center" vertical="center"/>
    </xf>
    <xf numFmtId="0" fontId="18" fillId="0" borderId="38" xfId="0" applyFont="1" applyBorder="1" applyAlignment="1">
      <alignment horizontal="center" vertical="center"/>
    </xf>
    <xf numFmtId="0" fontId="20" fillId="0" borderId="34" xfId="0" applyFont="1" applyBorder="1" applyAlignment="1">
      <alignment horizontal="center" vertical="center" wrapText="1"/>
    </xf>
    <xf numFmtId="0" fontId="20" fillId="0" borderId="34" xfId="0" applyFont="1" applyBorder="1" applyAlignment="1">
      <alignment vertical="center" wrapText="1"/>
    </xf>
    <xf numFmtId="171" fontId="20" fillId="0" borderId="34" xfId="0" applyNumberFormat="1" applyFont="1" applyBorder="1" applyAlignment="1">
      <alignment vertical="center" wrapText="1"/>
    </xf>
    <xf numFmtId="170" fontId="4" fillId="0" borderId="0" xfId="381" applyNumberFormat="1" applyFont="1" applyAlignment="1">
      <alignment/>
    </xf>
    <xf numFmtId="0" fontId="18" fillId="0" borderId="35" xfId="0" applyFont="1" applyBorder="1" applyAlignment="1">
      <alignment horizontal="center" vertical="center" wrapText="1"/>
    </xf>
    <xf numFmtId="171" fontId="18" fillId="0" borderId="35" xfId="0" applyNumberFormat="1" applyFont="1" applyBorder="1" applyAlignment="1">
      <alignment vertical="center" wrapText="1"/>
    </xf>
    <xf numFmtId="0" fontId="22" fillId="0" borderId="0" xfId="0" applyFont="1" applyAlignment="1">
      <alignment horizontal="centerContinuous"/>
    </xf>
    <xf numFmtId="0" fontId="18" fillId="0" borderId="19" xfId="0" applyFont="1" applyBorder="1" applyAlignment="1">
      <alignment horizontal="center" vertical="center" wrapText="1"/>
    </xf>
    <xf numFmtId="0" fontId="5" fillId="0" borderId="0" xfId="0" applyFont="1" applyBorder="1" applyAlignment="1">
      <alignment/>
    </xf>
    <xf numFmtId="0" fontId="16" fillId="0" borderId="34" xfId="0" applyFont="1" applyFill="1" applyBorder="1" applyAlignment="1">
      <alignment horizontal="center" vertical="center" wrapText="1"/>
    </xf>
    <xf numFmtId="171" fontId="20" fillId="0" borderId="39" xfId="0" applyNumberFormat="1" applyFont="1" applyBorder="1" applyAlignment="1">
      <alignment vertical="center" wrapText="1"/>
    </xf>
    <xf numFmtId="170" fontId="25" fillId="0" borderId="0" xfId="381" applyNumberFormat="1" applyFont="1" applyAlignment="1">
      <alignment horizontal="center" vertical="center" wrapText="1"/>
    </xf>
    <xf numFmtId="0" fontId="20" fillId="0" borderId="39" xfId="0" applyFont="1" applyBorder="1" applyAlignment="1">
      <alignment horizontal="center" vertical="center" wrapText="1"/>
    </xf>
    <xf numFmtId="0" fontId="20" fillId="0" borderId="39" xfId="0" applyFont="1" applyBorder="1" applyAlignment="1">
      <alignment vertical="center" wrapText="1"/>
    </xf>
    <xf numFmtId="170" fontId="4" fillId="0" borderId="0" xfId="0" applyNumberFormat="1" applyFont="1" applyAlignment="1">
      <alignment/>
    </xf>
    <xf numFmtId="0" fontId="18" fillId="0" borderId="34" xfId="0" applyFont="1" applyBorder="1" applyAlignment="1">
      <alignment horizontal="center" vertical="center" wrapText="1"/>
    </xf>
    <xf numFmtId="0" fontId="20" fillId="43" borderId="39" xfId="610" applyFont="1" applyFill="1" applyBorder="1" applyAlignment="1">
      <alignment horizontal="center" vertical="center" wrapText="1"/>
      <protection/>
    </xf>
    <xf numFmtId="0" fontId="18" fillId="0" borderId="40" xfId="0" applyFont="1" applyBorder="1" applyAlignment="1">
      <alignment horizontal="center" vertical="center"/>
    </xf>
    <xf numFmtId="0" fontId="18" fillId="0" borderId="41" xfId="0" applyFont="1" applyBorder="1" applyAlignment="1">
      <alignment horizontal="center" vertical="center"/>
    </xf>
    <xf numFmtId="171" fontId="18" fillId="0" borderId="7"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18" fillId="0" borderId="39" xfId="0" applyFont="1" applyBorder="1" applyAlignment="1">
      <alignment vertical="center" wrapText="1"/>
    </xf>
    <xf numFmtId="0" fontId="18" fillId="43" borderId="34" xfId="610" applyFont="1" applyFill="1" applyBorder="1" applyAlignment="1">
      <alignment horizontal="center" vertical="center" wrapText="1"/>
      <protection/>
    </xf>
    <xf numFmtId="171" fontId="18" fillId="0" borderId="39" xfId="0" applyNumberFormat="1" applyFont="1" applyBorder="1" applyAlignment="1">
      <alignment vertical="center" wrapText="1"/>
    </xf>
    <xf numFmtId="170" fontId="20" fillId="0" borderId="34" xfId="381" applyNumberFormat="1" applyFont="1" applyBorder="1" applyAlignment="1">
      <alignment horizontal="center" vertical="center" wrapText="1"/>
    </xf>
    <xf numFmtId="0" fontId="61" fillId="0" borderId="0" xfId="0" applyFont="1" applyAlignment="1">
      <alignment horizontal="left" vertical="center"/>
    </xf>
    <xf numFmtId="0" fontId="59" fillId="0" borderId="0" xfId="0" applyFont="1" applyAlignment="1">
      <alignment horizontal="left" vertical="center"/>
    </xf>
    <xf numFmtId="0" fontId="59" fillId="0" borderId="42" xfId="0" applyFont="1" applyBorder="1" applyAlignment="1">
      <alignment horizontal="center" vertical="center" wrapText="1"/>
    </xf>
    <xf numFmtId="0" fontId="63" fillId="0" borderId="42" xfId="0" applyFont="1" applyBorder="1" applyAlignment="1">
      <alignment horizontal="center" vertical="center" wrapText="1"/>
    </xf>
    <xf numFmtId="3" fontId="63" fillId="0" borderId="42" xfId="0" applyNumberFormat="1" applyFont="1" applyBorder="1" applyAlignment="1">
      <alignment horizontal="center" vertical="center" wrapText="1"/>
    </xf>
    <xf numFmtId="0" fontId="0" fillId="0" borderId="0" xfId="0" applyFont="1" applyAlignment="1">
      <alignment/>
    </xf>
    <xf numFmtId="184" fontId="0" fillId="0" borderId="0" xfId="0" applyNumberFormat="1" applyAlignment="1">
      <alignment/>
    </xf>
    <xf numFmtId="0" fontId="59" fillId="0" borderId="42" xfId="0" applyFont="1" applyBorder="1" applyAlignment="1">
      <alignment horizontal="left" vertical="center" wrapText="1"/>
    </xf>
    <xf numFmtId="0" fontId="0" fillId="0" borderId="0" xfId="0" applyAlignment="1">
      <alignment horizontal="left"/>
    </xf>
    <xf numFmtId="0" fontId="63" fillId="0" borderId="0" xfId="0" applyFont="1" applyAlignment="1">
      <alignment horizontal="left"/>
    </xf>
    <xf numFmtId="0" fontId="63" fillId="0" borderId="42" xfId="0" applyFont="1" applyBorder="1" applyAlignment="1">
      <alignment horizontal="left" vertical="center" wrapText="1"/>
    </xf>
    <xf numFmtId="0" fontId="64" fillId="0" borderId="42" xfId="0" applyFont="1" applyBorder="1" applyAlignment="1">
      <alignment horizontal="left" vertical="center" wrapText="1"/>
    </xf>
    <xf numFmtId="169" fontId="0" fillId="0" borderId="0" xfId="381" applyFont="1" applyAlignment="1">
      <alignment/>
    </xf>
    <xf numFmtId="169" fontId="0" fillId="0" borderId="0" xfId="0" applyNumberFormat="1" applyAlignment="1">
      <alignment/>
    </xf>
    <xf numFmtId="170" fontId="0" fillId="0" borderId="0" xfId="0" applyNumberFormat="1" applyAlignment="1">
      <alignment/>
    </xf>
    <xf numFmtId="170" fontId="0" fillId="0" borderId="0" xfId="381" applyNumberFormat="1" applyFont="1" applyAlignment="1">
      <alignment/>
    </xf>
    <xf numFmtId="0" fontId="59" fillId="0" borderId="43" xfId="0" applyFont="1" applyBorder="1" applyAlignment="1">
      <alignment vertical="center" wrapText="1"/>
    </xf>
    <xf numFmtId="0" fontId="59" fillId="0" borderId="44" xfId="0" applyFont="1" applyBorder="1" applyAlignment="1">
      <alignment horizontal="center" vertical="center" wrapText="1"/>
    </xf>
    <xf numFmtId="3" fontId="59" fillId="0" borderId="44" xfId="0" applyNumberFormat="1" applyFont="1" applyBorder="1" applyAlignment="1">
      <alignment horizontal="right" vertical="center" wrapText="1"/>
    </xf>
    <xf numFmtId="0" fontId="59" fillId="0" borderId="45" xfId="0" applyFont="1" applyBorder="1" applyAlignment="1">
      <alignment vertical="center" wrapText="1"/>
    </xf>
    <xf numFmtId="0" fontId="59" fillId="0" borderId="46" xfId="0" applyFont="1" applyBorder="1" applyAlignment="1">
      <alignment horizontal="center" vertical="center" wrapText="1"/>
    </xf>
    <xf numFmtId="3" fontId="59" fillId="0" borderId="46" xfId="0" applyNumberFormat="1" applyFont="1" applyBorder="1" applyAlignment="1">
      <alignment horizontal="right" vertical="center" wrapText="1"/>
    </xf>
    <xf numFmtId="0" fontId="33" fillId="0" borderId="0" xfId="0" applyFont="1" applyAlignment="1">
      <alignment/>
    </xf>
    <xf numFmtId="170" fontId="33" fillId="0" borderId="0" xfId="381" applyNumberFormat="1" applyFont="1" applyAlignment="1">
      <alignment/>
    </xf>
    <xf numFmtId="203" fontId="0" fillId="0" borderId="0" xfId="381" applyNumberFormat="1" applyFont="1" applyAlignment="1">
      <alignment/>
    </xf>
    <xf numFmtId="3" fontId="65" fillId="62" borderId="35" xfId="0" applyNumberFormat="1" applyFont="1" applyFill="1" applyBorder="1" applyAlignment="1">
      <alignment horizontal="right"/>
    </xf>
    <xf numFmtId="169" fontId="0" fillId="0" borderId="0" xfId="381" applyNumberFormat="1" applyFont="1" applyAlignment="1">
      <alignment/>
    </xf>
    <xf numFmtId="3" fontId="59" fillId="0" borderId="0" xfId="0" applyNumberFormat="1" applyFont="1" applyFill="1" applyBorder="1" applyAlignment="1">
      <alignment horizontal="right" vertical="center" wrapText="1"/>
    </xf>
    <xf numFmtId="1" fontId="0" fillId="0" borderId="0" xfId="0" applyNumberFormat="1" applyAlignment="1">
      <alignment/>
    </xf>
    <xf numFmtId="0" fontId="70" fillId="0" borderId="15" xfId="601" applyFont="1" applyFill="1" applyBorder="1" applyAlignment="1">
      <alignment horizontal="center" vertical="center" wrapText="1"/>
      <protection/>
    </xf>
    <xf numFmtId="0" fontId="70" fillId="0" borderId="15" xfId="601" applyFont="1" applyFill="1" applyBorder="1" applyAlignment="1">
      <alignment horizontal="left" vertical="center" wrapText="1"/>
      <protection/>
    </xf>
    <xf numFmtId="170" fontId="86" fillId="0" borderId="15" xfId="601" applyNumberFormat="1" applyFont="1" applyFill="1" applyBorder="1" applyAlignment="1">
      <alignment horizontal="right" vertical="center" wrapText="1"/>
      <protection/>
    </xf>
    <xf numFmtId="170" fontId="70" fillId="0" borderId="15" xfId="601" applyNumberFormat="1" applyFont="1" applyFill="1" applyBorder="1" applyAlignment="1">
      <alignment horizontal="right" vertical="center" wrapText="1"/>
      <protection/>
    </xf>
    <xf numFmtId="170" fontId="83" fillId="0" borderId="0" xfId="601" applyNumberFormat="1" applyFont="1" applyFill="1" applyAlignment="1">
      <alignment horizontal="center" vertical="center" wrapText="1"/>
      <protection/>
    </xf>
    <xf numFmtId="170" fontId="70" fillId="0" borderId="0" xfId="601" applyNumberFormat="1" applyFont="1" applyFill="1" applyAlignment="1">
      <alignment horizontal="center" vertical="center" wrapText="1"/>
      <protection/>
    </xf>
    <xf numFmtId="170" fontId="70" fillId="0" borderId="0" xfId="390" applyNumberFormat="1" applyFont="1" applyFill="1" applyAlignment="1">
      <alignment horizontal="center" vertical="center" wrapText="1"/>
    </xf>
    <xf numFmtId="0" fontId="70" fillId="0" borderId="0" xfId="601" applyFont="1" applyFill="1" applyAlignment="1">
      <alignment horizontal="center" vertical="center" wrapText="1"/>
      <protection/>
    </xf>
    <xf numFmtId="170" fontId="71" fillId="0" borderId="34" xfId="390" applyNumberFormat="1" applyFont="1" applyFill="1" applyBorder="1" applyAlignment="1">
      <alignment horizontal="right" vertical="center" wrapText="1"/>
    </xf>
    <xf numFmtId="170" fontId="71" fillId="0" borderId="34" xfId="601" applyNumberFormat="1" applyFont="1" applyFill="1" applyBorder="1" applyAlignment="1">
      <alignment horizontal="right" vertical="center" wrapText="1"/>
      <protection/>
    </xf>
    <xf numFmtId="170" fontId="71" fillId="0" borderId="35" xfId="601" applyNumberFormat="1" applyFont="1" applyFill="1" applyBorder="1" applyAlignment="1">
      <alignment horizontal="right" vertical="center" wrapText="1"/>
      <protection/>
    </xf>
    <xf numFmtId="0" fontId="71" fillId="0" borderId="34" xfId="601" applyFont="1" applyFill="1" applyBorder="1" applyAlignment="1">
      <alignment horizontal="center" vertical="center" wrapText="1"/>
      <protection/>
    </xf>
    <xf numFmtId="0" fontId="71" fillId="0" borderId="34" xfId="601" applyFont="1" applyFill="1" applyBorder="1" applyAlignment="1">
      <alignment vertical="center" wrapText="1"/>
      <protection/>
    </xf>
    <xf numFmtId="0" fontId="84" fillId="0" borderId="0" xfId="601" applyFont="1" applyFill="1" applyAlignment="1">
      <alignment horizontal="right" vertical="center" wrapText="1"/>
      <protection/>
    </xf>
    <xf numFmtId="0" fontId="72" fillId="0" borderId="0" xfId="0" applyFont="1" applyFill="1" applyAlignment="1">
      <alignment/>
    </xf>
    <xf numFmtId="0" fontId="83" fillId="0" borderId="0" xfId="601" applyFont="1" applyFill="1" applyAlignment="1">
      <alignment vertical="center" wrapText="1"/>
      <protection/>
    </xf>
    <xf numFmtId="0" fontId="70" fillId="0" borderId="0" xfId="601" applyFont="1" applyFill="1" applyAlignment="1">
      <alignment vertical="center" wrapText="1"/>
      <protection/>
    </xf>
    <xf numFmtId="0" fontId="83" fillId="0" borderId="0" xfId="601" applyFont="1" applyFill="1" applyAlignment="1">
      <alignment horizontal="right" vertical="center" wrapText="1"/>
      <protection/>
    </xf>
    <xf numFmtId="0" fontId="71" fillId="0" borderId="35" xfId="601" applyFont="1" applyFill="1" applyBorder="1" applyAlignment="1">
      <alignment vertical="center" wrapText="1"/>
      <protection/>
    </xf>
    <xf numFmtId="0" fontId="76" fillId="0" borderId="0" xfId="601" applyFont="1" applyFill="1" applyAlignment="1">
      <alignment vertical="center" wrapText="1"/>
      <protection/>
    </xf>
    <xf numFmtId="0" fontId="77" fillId="0" borderId="0" xfId="601" applyFont="1" applyFill="1" applyAlignment="1">
      <alignment vertical="center" wrapText="1"/>
      <protection/>
    </xf>
    <xf numFmtId="0" fontId="78" fillId="0" borderId="0" xfId="601" applyFont="1" applyFill="1" applyAlignment="1">
      <alignment horizontal="center" vertical="center" wrapText="1"/>
      <protection/>
    </xf>
    <xf numFmtId="0" fontId="59" fillId="0" borderId="0" xfId="601" applyFont="1" applyFill="1" applyAlignment="1">
      <alignment vertical="center" wrapText="1"/>
      <protection/>
    </xf>
    <xf numFmtId="0" fontId="79" fillId="0" borderId="0" xfId="601" applyFont="1" applyFill="1" applyAlignment="1">
      <alignment horizontal="center" vertical="center" wrapText="1"/>
      <protection/>
    </xf>
    <xf numFmtId="0" fontId="77" fillId="0" borderId="15" xfId="601" applyFont="1" applyFill="1" applyBorder="1" applyAlignment="1">
      <alignment horizontal="center" vertical="center" wrapText="1"/>
      <protection/>
    </xf>
    <xf numFmtId="0" fontId="73" fillId="0" borderId="0" xfId="601" applyFont="1" applyFill="1" applyAlignment="1">
      <alignment vertical="center" wrapText="1"/>
      <protection/>
    </xf>
    <xf numFmtId="0" fontId="66" fillId="0" borderId="0" xfId="601" applyFont="1" applyFill="1" applyAlignment="1">
      <alignment horizontal="center" vertical="center" wrapText="1"/>
      <protection/>
    </xf>
    <xf numFmtId="170" fontId="66" fillId="0" borderId="0" xfId="390" applyNumberFormat="1" applyFont="1" applyFill="1" applyAlignment="1">
      <alignment vertical="center" wrapText="1"/>
    </xf>
    <xf numFmtId="170" fontId="84" fillId="0" borderId="0" xfId="390" applyNumberFormat="1" applyFont="1" applyFill="1" applyBorder="1" applyAlignment="1">
      <alignment horizontal="center" vertical="center" wrapText="1"/>
    </xf>
    <xf numFmtId="0" fontId="83" fillId="0" borderId="0" xfId="601" applyFont="1" applyFill="1" applyAlignment="1">
      <alignment horizontal="center" vertical="center" wrapText="1"/>
      <protection/>
    </xf>
    <xf numFmtId="170" fontId="83" fillId="0" borderId="0" xfId="390" applyNumberFormat="1" applyFont="1" applyFill="1" applyBorder="1" applyAlignment="1">
      <alignment horizontal="center" vertical="center" wrapText="1"/>
    </xf>
    <xf numFmtId="0" fontId="70" fillId="0" borderId="15" xfId="601" applyFont="1" applyFill="1" applyBorder="1" applyAlignment="1">
      <alignment vertical="center" wrapText="1"/>
      <protection/>
    </xf>
    <xf numFmtId="0" fontId="71" fillId="0" borderId="15" xfId="601" applyFont="1" applyFill="1" applyBorder="1" applyAlignment="1">
      <alignment horizontal="center" vertical="center" wrapText="1"/>
      <protection/>
    </xf>
    <xf numFmtId="170" fontId="83" fillId="0" borderId="0" xfId="601" applyNumberFormat="1" applyFont="1" applyFill="1" applyAlignment="1">
      <alignment horizontal="right" vertical="center" wrapText="1"/>
      <protection/>
    </xf>
    <xf numFmtId="170" fontId="70" fillId="0" borderId="0" xfId="390" applyNumberFormat="1" applyFont="1" applyFill="1" applyAlignment="1">
      <alignment vertical="center" wrapText="1"/>
    </xf>
    <xf numFmtId="170" fontId="70" fillId="0" borderId="0" xfId="601" applyNumberFormat="1" applyFont="1" applyFill="1" applyAlignment="1">
      <alignment vertical="center" wrapText="1"/>
      <protection/>
    </xf>
    <xf numFmtId="170" fontId="83" fillId="0" borderId="0" xfId="601" applyNumberFormat="1" applyFont="1" applyFill="1" applyAlignment="1">
      <alignment vertical="center" wrapText="1"/>
      <protection/>
    </xf>
    <xf numFmtId="0" fontId="70" fillId="0" borderId="19" xfId="601" applyFont="1" applyFill="1" applyBorder="1" applyAlignment="1">
      <alignment horizontal="center" vertical="center" wrapText="1"/>
      <protection/>
    </xf>
    <xf numFmtId="0" fontId="70" fillId="0" borderId="19" xfId="601" applyFont="1" applyFill="1" applyBorder="1" applyAlignment="1">
      <alignment vertical="center" wrapText="1"/>
      <protection/>
    </xf>
    <xf numFmtId="170" fontId="70" fillId="0" borderId="19" xfId="601" applyNumberFormat="1" applyFont="1" applyFill="1" applyBorder="1" applyAlignment="1">
      <alignment horizontal="right" vertical="center" wrapText="1"/>
      <protection/>
    </xf>
    <xf numFmtId="170" fontId="70" fillId="0" borderId="47" xfId="390" applyNumberFormat="1" applyFont="1" applyFill="1" applyBorder="1" applyAlignment="1">
      <alignment horizontal="right" vertical="center" wrapText="1"/>
    </xf>
    <xf numFmtId="204" fontId="70" fillId="0" borderId="19" xfId="0" applyNumberFormat="1" applyFont="1" applyFill="1" applyBorder="1" applyAlignment="1">
      <alignment horizontal="center"/>
    </xf>
    <xf numFmtId="170" fontId="70" fillId="0" borderId="19" xfId="390" applyNumberFormat="1" applyFont="1" applyFill="1" applyBorder="1" applyAlignment="1">
      <alignment horizontal="right" vertical="center" wrapText="1"/>
    </xf>
    <xf numFmtId="0" fontId="63" fillId="0" borderId="0" xfId="601" applyFont="1" applyFill="1" applyAlignment="1">
      <alignment wrapText="1"/>
      <protection/>
    </xf>
    <xf numFmtId="0" fontId="63" fillId="0" borderId="0" xfId="601" applyFont="1" applyFill="1" applyAlignment="1">
      <alignment horizontal="centerContinuous" wrapText="1"/>
      <protection/>
    </xf>
    <xf numFmtId="170" fontId="81" fillId="0" borderId="0" xfId="601" applyNumberFormat="1" applyFont="1" applyFill="1" applyAlignment="1">
      <alignment wrapText="1"/>
      <protection/>
    </xf>
    <xf numFmtId="170" fontId="81" fillId="0" borderId="0" xfId="601" applyNumberFormat="1" applyFont="1" applyFill="1" applyAlignment="1">
      <alignment vertical="center" wrapText="1"/>
      <protection/>
    </xf>
    <xf numFmtId="0" fontId="81" fillId="0" borderId="0" xfId="601" applyFont="1" applyFill="1" applyAlignment="1">
      <alignment wrapText="1"/>
      <protection/>
    </xf>
    <xf numFmtId="0" fontId="82" fillId="0" borderId="0" xfId="601" applyFont="1" applyFill="1" applyAlignment="1">
      <alignment wrapText="1"/>
      <protection/>
    </xf>
    <xf numFmtId="0" fontId="59" fillId="0" borderId="0" xfId="601" applyFont="1" applyFill="1" applyAlignment="1">
      <alignment horizontal="center" vertical="center" wrapText="1"/>
      <protection/>
    </xf>
    <xf numFmtId="170" fontId="77" fillId="0" borderId="0" xfId="601" applyNumberFormat="1" applyFont="1" applyFill="1" applyAlignment="1">
      <alignment vertical="center" wrapText="1"/>
      <protection/>
    </xf>
    <xf numFmtId="0" fontId="80" fillId="0" borderId="0" xfId="601" applyFont="1" applyFill="1" applyAlignment="1">
      <alignment vertical="center" wrapText="1"/>
      <protection/>
    </xf>
    <xf numFmtId="0" fontId="61" fillId="0" borderId="0" xfId="601" applyFont="1" applyFill="1" applyBorder="1" applyAlignment="1">
      <alignment vertical="center" wrapText="1"/>
      <protection/>
    </xf>
    <xf numFmtId="0" fontId="61" fillId="0" borderId="0" xfId="601" applyFont="1" applyFill="1" applyBorder="1" applyAlignment="1">
      <alignment/>
      <protection/>
    </xf>
    <xf numFmtId="0" fontId="74" fillId="0" borderId="0" xfId="610" applyFont="1" applyFill="1" applyBorder="1" applyAlignment="1">
      <alignment horizontal="centerContinuous" vertical="center" wrapText="1"/>
      <protection/>
    </xf>
    <xf numFmtId="170" fontId="59" fillId="0" borderId="0" xfId="390" applyNumberFormat="1" applyFont="1" applyFill="1" applyAlignment="1">
      <alignment horizontal="center" vertical="center" wrapText="1"/>
    </xf>
    <xf numFmtId="0" fontId="59" fillId="0" borderId="0" xfId="0" applyFont="1" applyAlignment="1">
      <alignment/>
    </xf>
    <xf numFmtId="0" fontId="64" fillId="0" borderId="0" xfId="601" applyFont="1" applyFill="1" applyBorder="1" applyAlignment="1">
      <alignment wrapText="1"/>
      <protection/>
    </xf>
    <xf numFmtId="0" fontId="70" fillId="0" borderId="48" xfId="601" applyFont="1" applyFill="1" applyBorder="1" applyAlignment="1">
      <alignment horizontal="center" vertical="center" wrapText="1"/>
      <protection/>
    </xf>
    <xf numFmtId="170" fontId="70" fillId="0" borderId="49" xfId="601" applyNumberFormat="1" applyFont="1" applyFill="1" applyBorder="1" applyAlignment="1">
      <alignment horizontal="right" vertical="center" wrapText="1"/>
      <protection/>
    </xf>
    <xf numFmtId="0" fontId="71" fillId="0" borderId="50" xfId="601" applyFont="1" applyFill="1" applyBorder="1" applyAlignment="1">
      <alignment horizontal="center" vertical="center" wrapText="1"/>
      <protection/>
    </xf>
    <xf numFmtId="170" fontId="71" fillId="0" borderId="51" xfId="390" applyNumberFormat="1" applyFont="1" applyFill="1" applyBorder="1" applyAlignment="1">
      <alignment horizontal="right" vertical="center" wrapText="1"/>
    </xf>
    <xf numFmtId="0" fontId="70" fillId="0" borderId="52" xfId="601" applyFont="1" applyFill="1" applyBorder="1" applyAlignment="1">
      <alignment horizontal="center" vertical="center" wrapText="1"/>
      <protection/>
    </xf>
    <xf numFmtId="170" fontId="70" fillId="0" borderId="53" xfId="601" applyNumberFormat="1" applyFont="1" applyFill="1" applyBorder="1" applyAlignment="1">
      <alignment horizontal="right" vertical="center" wrapText="1"/>
      <protection/>
    </xf>
    <xf numFmtId="170" fontId="70" fillId="0" borderId="53" xfId="390" applyNumberFormat="1" applyFont="1" applyFill="1" applyBorder="1" applyAlignment="1">
      <alignment horizontal="right" vertical="center" wrapText="1"/>
    </xf>
    <xf numFmtId="0" fontId="70" fillId="0" borderId="50" xfId="601" applyFont="1" applyFill="1" applyBorder="1" applyAlignment="1">
      <alignment horizontal="center" vertical="center" wrapText="1"/>
      <protection/>
    </xf>
    <xf numFmtId="170" fontId="71" fillId="0" borderId="51" xfId="601" applyNumberFormat="1" applyFont="1" applyFill="1" applyBorder="1" applyAlignment="1">
      <alignment horizontal="right" vertical="center" wrapText="1"/>
      <protection/>
    </xf>
    <xf numFmtId="0" fontId="70" fillId="0" borderId="54" xfId="601" applyFont="1" applyFill="1" applyBorder="1" applyAlignment="1">
      <alignment horizontal="center" vertical="center" wrapText="1"/>
      <protection/>
    </xf>
    <xf numFmtId="0" fontId="70" fillId="0" borderId="55" xfId="601" applyFont="1" applyFill="1" applyBorder="1" applyAlignment="1">
      <alignment horizontal="center" vertical="center" wrapText="1"/>
      <protection/>
    </xf>
    <xf numFmtId="0" fontId="70" fillId="0" borderId="56" xfId="601" applyFont="1" applyFill="1" applyBorder="1" applyAlignment="1">
      <alignment horizontal="left" vertical="center" wrapText="1"/>
      <protection/>
    </xf>
    <xf numFmtId="0" fontId="70" fillId="0" borderId="56" xfId="601" applyFont="1" applyFill="1" applyBorder="1" applyAlignment="1">
      <alignment horizontal="center" vertical="center" wrapText="1"/>
      <protection/>
    </xf>
    <xf numFmtId="170" fontId="70" fillId="0" borderId="56" xfId="390" applyNumberFormat="1" applyFont="1" applyFill="1" applyBorder="1" applyAlignment="1">
      <alignment horizontal="right" vertical="center" wrapText="1"/>
    </xf>
    <xf numFmtId="0" fontId="71" fillId="0" borderId="34" xfId="601" applyFont="1" applyFill="1" applyBorder="1" applyAlignment="1">
      <alignment horizontal="left" vertical="center" wrapText="1"/>
      <protection/>
    </xf>
    <xf numFmtId="0" fontId="71" fillId="0" borderId="0" xfId="601" applyFont="1" applyFill="1" applyAlignment="1">
      <alignment horizontal="center" vertical="center" wrapText="1"/>
      <protection/>
    </xf>
    <xf numFmtId="0" fontId="71" fillId="0" borderId="0" xfId="601" applyFont="1" applyFill="1" applyAlignment="1">
      <alignment vertical="center" wrapText="1"/>
      <protection/>
    </xf>
    <xf numFmtId="0" fontId="70" fillId="0" borderId="0" xfId="601" applyFont="1" applyFill="1" applyBorder="1" applyAlignment="1">
      <alignment horizontal="centerContinuous"/>
      <protection/>
    </xf>
    <xf numFmtId="0" fontId="70" fillId="0" borderId="0" xfId="601" applyFont="1" applyFill="1" applyBorder="1" applyAlignment="1">
      <alignment horizontal="center" vertical="center" wrapText="1"/>
      <protection/>
    </xf>
    <xf numFmtId="170" fontId="84" fillId="0" borderId="0" xfId="601" applyNumberFormat="1" applyFont="1" applyFill="1" applyAlignment="1">
      <alignment vertical="center" wrapText="1"/>
      <protection/>
    </xf>
    <xf numFmtId="0" fontId="84" fillId="0" borderId="0" xfId="601" applyFont="1" applyFill="1" applyAlignment="1">
      <alignment vertical="center" wrapText="1"/>
      <protection/>
    </xf>
    <xf numFmtId="0" fontId="92" fillId="0" borderId="0" xfId="601" applyFont="1" applyFill="1" applyAlignment="1">
      <alignment vertical="center" wrapText="1"/>
      <protection/>
    </xf>
    <xf numFmtId="0" fontId="70" fillId="0" borderId="0" xfId="601" applyFont="1" applyFill="1" applyBorder="1" applyAlignment="1">
      <alignment vertical="center" wrapText="1"/>
      <protection/>
    </xf>
    <xf numFmtId="0" fontId="70" fillId="0" borderId="0" xfId="601" applyFont="1" applyFill="1" applyBorder="1" applyAlignment="1">
      <alignment/>
      <protection/>
    </xf>
    <xf numFmtId="170" fontId="93" fillId="0" borderId="0" xfId="390" applyNumberFormat="1" applyFont="1" applyBorder="1" applyAlignment="1">
      <alignment/>
    </xf>
    <xf numFmtId="0" fontId="84" fillId="63" borderId="0" xfId="601" applyFont="1" applyFill="1" applyAlignment="1">
      <alignment horizontal="right" vertical="center" wrapText="1"/>
      <protection/>
    </xf>
    <xf numFmtId="170" fontId="83" fillId="63" borderId="0" xfId="390" applyNumberFormat="1" applyFont="1" applyFill="1" applyBorder="1" applyAlignment="1">
      <alignment horizontal="center" vertical="center" wrapText="1"/>
    </xf>
    <xf numFmtId="170" fontId="70" fillId="63" borderId="0" xfId="601" applyNumberFormat="1" applyFont="1" applyFill="1" applyAlignment="1">
      <alignment horizontal="center" vertical="center" wrapText="1"/>
      <protection/>
    </xf>
    <xf numFmtId="0" fontId="70" fillId="63" borderId="0" xfId="601" applyFont="1" applyFill="1" applyAlignment="1">
      <alignment horizontal="center" vertical="center" wrapText="1"/>
      <protection/>
    </xf>
    <xf numFmtId="170" fontId="234" fillId="63" borderId="34" xfId="601" applyNumberFormat="1" applyFont="1" applyFill="1" applyBorder="1" applyAlignment="1">
      <alignment horizontal="right" vertical="center" wrapText="1"/>
      <protection/>
    </xf>
    <xf numFmtId="170" fontId="71" fillId="63" borderId="34" xfId="601" applyNumberFormat="1" applyFont="1" applyFill="1" applyBorder="1" applyAlignment="1">
      <alignment horizontal="right" vertical="center" wrapText="1"/>
      <protection/>
    </xf>
    <xf numFmtId="170" fontId="71" fillId="63" borderId="51" xfId="390" applyNumberFormat="1" applyFont="1" applyFill="1" applyBorder="1" applyAlignment="1">
      <alignment horizontal="right" vertical="center" wrapText="1"/>
    </xf>
    <xf numFmtId="170" fontId="70" fillId="0" borderId="0" xfId="390" applyNumberFormat="1" applyFont="1" applyFill="1" applyBorder="1" applyAlignment="1">
      <alignment horizontal="right" vertical="center" wrapText="1"/>
    </xf>
    <xf numFmtId="170" fontId="71" fillId="0" borderId="57" xfId="601" applyNumberFormat="1" applyFont="1" applyFill="1" applyBorder="1" applyAlignment="1">
      <alignment horizontal="right" vertical="center" wrapText="1"/>
      <protection/>
    </xf>
    <xf numFmtId="170" fontId="70" fillId="0" borderId="58" xfId="390" applyNumberFormat="1" applyFont="1" applyFill="1" applyBorder="1" applyAlignment="1">
      <alignment horizontal="right" vertical="center" wrapText="1"/>
    </xf>
    <xf numFmtId="0" fontId="100" fillId="0" borderId="0" xfId="612" applyFont="1" applyFill="1" applyAlignment="1" applyProtection="1">
      <alignment horizontal="left" vertical="center"/>
      <protection/>
    </xf>
    <xf numFmtId="0" fontId="40" fillId="0" borderId="0" xfId="612" applyFont="1" applyFill="1" applyAlignment="1" applyProtection="1">
      <alignment horizontal="centerContinuous" vertical="center"/>
      <protection/>
    </xf>
    <xf numFmtId="0" fontId="100" fillId="0" borderId="0" xfId="612" applyFont="1" applyFill="1" applyAlignment="1" applyProtection="1">
      <alignment horizontal="centerContinuous" vertical="center"/>
      <protection/>
    </xf>
    <xf numFmtId="0" fontId="100" fillId="0" borderId="0" xfId="612" applyFont="1" applyFill="1" applyAlignment="1" applyProtection="1">
      <alignment vertical="center"/>
      <protection/>
    </xf>
    <xf numFmtId="0" fontId="94" fillId="0" borderId="0" xfId="612" applyFont="1" applyFill="1" applyAlignment="1" applyProtection="1">
      <alignment horizontal="left" vertical="center"/>
      <protection/>
    </xf>
    <xf numFmtId="0" fontId="94" fillId="0" borderId="0" xfId="612" applyFont="1" applyFill="1" applyAlignment="1" applyProtection="1">
      <alignment vertical="center"/>
      <protection/>
    </xf>
    <xf numFmtId="0" fontId="94" fillId="0" borderId="37" xfId="612" applyFont="1" applyFill="1" applyBorder="1" applyAlignment="1" applyProtection="1">
      <alignment vertical="center"/>
      <protection/>
    </xf>
    <xf numFmtId="14" fontId="88" fillId="0" borderId="15" xfId="612" applyNumberFormat="1" applyFont="1" applyFill="1" applyBorder="1" applyAlignment="1" applyProtection="1">
      <alignment horizontal="left" vertical="center"/>
      <protection/>
    </xf>
    <xf numFmtId="14" fontId="88" fillId="0" borderId="15" xfId="612" applyNumberFormat="1" applyFont="1" applyFill="1" applyBorder="1" applyAlignment="1" applyProtection="1">
      <alignment horizontal="center" vertical="center"/>
      <protection/>
    </xf>
    <xf numFmtId="0" fontId="59" fillId="0" borderId="0" xfId="612" applyFont="1" applyFill="1" applyAlignment="1" applyProtection="1">
      <alignment vertical="center"/>
      <protection/>
    </xf>
    <xf numFmtId="0" fontId="102" fillId="0" borderId="0" xfId="611" applyFont="1" applyFill="1" applyAlignment="1" applyProtection="1">
      <alignment vertical="center"/>
      <protection/>
    </xf>
    <xf numFmtId="0" fontId="104" fillId="0" borderId="0" xfId="612" applyFont="1" applyFill="1" applyAlignment="1" applyProtection="1">
      <alignment vertical="center"/>
      <protection/>
    </xf>
    <xf numFmtId="0" fontId="102" fillId="0" borderId="0" xfId="612" applyFont="1" applyFill="1" applyAlignment="1" applyProtection="1">
      <alignment horizontal="centerContinuous" vertical="center"/>
      <protection/>
    </xf>
    <xf numFmtId="0" fontId="105" fillId="0" borderId="0" xfId="612" applyFont="1" applyFill="1" applyAlignment="1" applyProtection="1" quotePrefix="1">
      <alignment horizontal="justify" vertical="center"/>
      <protection/>
    </xf>
    <xf numFmtId="0" fontId="0" fillId="0" borderId="0" xfId="612" applyFont="1" applyFill="1" applyAlignment="1" applyProtection="1">
      <alignment vertical="center"/>
      <protection/>
    </xf>
    <xf numFmtId="0" fontId="88" fillId="0" borderId="15" xfId="612" applyFont="1" applyFill="1" applyBorder="1" applyAlignment="1" applyProtection="1">
      <alignment horizontal="center" vertical="center"/>
      <protection/>
    </xf>
    <xf numFmtId="0" fontId="88" fillId="0" borderId="28" xfId="612" applyFont="1" applyFill="1" applyBorder="1" applyAlignment="1" applyProtection="1">
      <alignment horizontal="center" vertical="center"/>
      <protection/>
    </xf>
    <xf numFmtId="0" fontId="88" fillId="0" borderId="0" xfId="612" applyFont="1" applyFill="1" applyBorder="1" applyAlignment="1" applyProtection="1">
      <alignment horizontal="center" vertical="center"/>
      <protection/>
    </xf>
    <xf numFmtId="0" fontId="88" fillId="61" borderId="15" xfId="612" applyFont="1" applyFill="1" applyBorder="1" applyAlignment="1" applyProtection="1">
      <alignment horizontal="center" vertical="center"/>
      <protection/>
    </xf>
    <xf numFmtId="0" fontId="88" fillId="61" borderId="15" xfId="612" applyFont="1" applyFill="1" applyBorder="1" applyAlignment="1" applyProtection="1">
      <alignment horizontal="left" vertical="center"/>
      <protection/>
    </xf>
    <xf numFmtId="14" fontId="88" fillId="61" borderId="15" xfId="612" applyNumberFormat="1" applyFont="1" applyFill="1" applyBorder="1" applyAlignment="1" applyProtection="1">
      <alignment horizontal="center" vertical="center"/>
      <protection/>
    </xf>
    <xf numFmtId="0" fontId="88" fillId="0" borderId="28" xfId="612" applyFont="1" applyFill="1" applyBorder="1" applyAlignment="1" applyProtection="1">
      <alignment vertical="center"/>
      <protection/>
    </xf>
    <xf numFmtId="0" fontId="88" fillId="0" borderId="15" xfId="612" applyFont="1" applyFill="1" applyBorder="1" applyAlignment="1" applyProtection="1">
      <alignment vertical="center"/>
      <protection/>
    </xf>
    <xf numFmtId="4" fontId="0" fillId="0" borderId="15" xfId="612" applyNumberFormat="1" applyFont="1" applyFill="1" applyBorder="1" applyAlignment="1" applyProtection="1">
      <alignment vertical="center"/>
      <protection/>
    </xf>
    <xf numFmtId="0" fontId="0" fillId="0" borderId="15" xfId="612" applyFont="1" applyFill="1" applyBorder="1" applyAlignment="1" applyProtection="1">
      <alignment vertical="center"/>
      <protection/>
    </xf>
    <xf numFmtId="0" fontId="0" fillId="0" borderId="0" xfId="612" applyFont="1" applyFill="1" applyBorder="1" applyAlignment="1" applyProtection="1">
      <alignment vertical="center"/>
      <protection/>
    </xf>
    <xf numFmtId="0" fontId="0" fillId="0" borderId="15" xfId="612" applyFont="1" applyFill="1" applyBorder="1" applyAlignment="1" applyProtection="1">
      <alignment horizontal="center" vertical="center"/>
      <protection/>
    </xf>
    <xf numFmtId="0" fontId="0" fillId="0" borderId="28" xfId="612" applyFont="1" applyFill="1" applyBorder="1" applyAlignment="1" applyProtection="1">
      <alignment vertical="center"/>
      <protection/>
    </xf>
    <xf numFmtId="4" fontId="0" fillId="0" borderId="0" xfId="612" applyNumberFormat="1" applyFont="1" applyFill="1" applyBorder="1" applyAlignment="1" applyProtection="1">
      <alignment vertical="center"/>
      <protection/>
    </xf>
    <xf numFmtId="0" fontId="93" fillId="0" borderId="15" xfId="611" applyFont="1" applyFill="1" applyBorder="1" applyAlignment="1" applyProtection="1">
      <alignment horizontal="center" vertical="center"/>
      <protection/>
    </xf>
    <xf numFmtId="0" fontId="93" fillId="0" borderId="28" xfId="611" applyFont="1" applyFill="1" applyBorder="1" applyAlignment="1" applyProtection="1">
      <alignment vertical="center"/>
      <protection/>
    </xf>
    <xf numFmtId="0" fontId="93" fillId="0" borderId="15" xfId="612" applyFont="1" applyFill="1" applyBorder="1" applyAlignment="1" applyProtection="1">
      <alignment horizontal="center" vertical="center"/>
      <protection/>
    </xf>
    <xf numFmtId="0" fontId="106" fillId="0" borderId="0" xfId="612" applyFont="1" applyFill="1" applyAlignment="1" applyProtection="1">
      <alignment vertical="center"/>
      <protection/>
    </xf>
    <xf numFmtId="0" fontId="105" fillId="0" borderId="0" xfId="612" applyFont="1" applyFill="1" applyAlignment="1" applyProtection="1">
      <alignment vertical="center"/>
      <protection/>
    </xf>
    <xf numFmtId="0" fontId="105" fillId="0" borderId="15" xfId="612" applyFont="1" applyFill="1" applyBorder="1" applyAlignment="1" applyProtection="1">
      <alignment horizontal="center" vertical="center"/>
      <protection/>
    </xf>
    <xf numFmtId="0" fontId="105" fillId="0" borderId="28" xfId="612" applyFont="1" applyFill="1" applyBorder="1" applyAlignment="1" applyProtection="1">
      <alignment vertical="center"/>
      <protection/>
    </xf>
    <xf numFmtId="0" fontId="105" fillId="0" borderId="15" xfId="612" applyFont="1" applyFill="1" applyBorder="1" applyAlignment="1" applyProtection="1">
      <alignment horizontal="centerContinuous" vertical="center"/>
      <protection/>
    </xf>
    <xf numFmtId="0" fontId="108" fillId="0" borderId="15" xfId="612" applyFont="1" applyFill="1" applyBorder="1" applyAlignment="1" applyProtection="1">
      <alignment horizontal="center" vertical="center"/>
      <protection/>
    </xf>
    <xf numFmtId="0" fontId="108" fillId="0" borderId="28" xfId="612" applyFont="1" applyFill="1" applyBorder="1" applyAlignment="1" applyProtection="1">
      <alignment vertical="center"/>
      <protection/>
    </xf>
    <xf numFmtId="0" fontId="108" fillId="0" borderId="15" xfId="612" applyFont="1" applyFill="1" applyBorder="1" applyAlignment="1" applyProtection="1">
      <alignment horizontal="centerContinuous" vertical="center"/>
      <protection/>
    </xf>
    <xf numFmtId="0" fontId="108" fillId="0" borderId="0" xfId="612" applyFont="1" applyFill="1" applyAlignment="1" applyProtection="1">
      <alignment vertical="center"/>
      <protection/>
    </xf>
    <xf numFmtId="0" fontId="89" fillId="0" borderId="15" xfId="612" applyFont="1" applyFill="1" applyBorder="1" applyAlignment="1" applyProtection="1">
      <alignment horizontal="center" vertical="center"/>
      <protection/>
    </xf>
    <xf numFmtId="0" fontId="89" fillId="0" borderId="28" xfId="612" applyFont="1" applyFill="1" applyBorder="1" applyAlignment="1" applyProtection="1">
      <alignment vertical="center"/>
      <protection/>
    </xf>
    <xf numFmtId="4" fontId="89" fillId="0" borderId="15" xfId="612" applyNumberFormat="1" applyFont="1" applyFill="1" applyBorder="1" applyAlignment="1" applyProtection="1">
      <alignment vertical="center"/>
      <protection/>
    </xf>
    <xf numFmtId="4" fontId="89" fillId="0" borderId="0" xfId="612" applyNumberFormat="1" applyFont="1" applyFill="1" applyBorder="1" applyAlignment="1" applyProtection="1">
      <alignment vertical="center"/>
      <protection/>
    </xf>
    <xf numFmtId="4" fontId="88" fillId="0" borderId="15" xfId="612" applyNumberFormat="1" applyFont="1" applyFill="1" applyBorder="1" applyAlignment="1" applyProtection="1">
      <alignment vertical="center"/>
      <protection/>
    </xf>
    <xf numFmtId="0" fontId="93" fillId="0" borderId="28" xfId="612" applyFont="1" applyFill="1" applyBorder="1" applyAlignment="1" applyProtection="1">
      <alignment vertical="center"/>
      <protection/>
    </xf>
    <xf numFmtId="0" fontId="93" fillId="0" borderId="15" xfId="612" applyFont="1" applyFill="1" applyBorder="1" applyAlignment="1" applyProtection="1">
      <alignment horizontal="centerContinuous" vertical="center"/>
      <protection/>
    </xf>
    <xf numFmtId="0" fontId="93" fillId="0" borderId="0" xfId="612" applyFont="1" applyFill="1" applyAlignment="1" applyProtection="1">
      <alignment vertical="center"/>
      <protection/>
    </xf>
    <xf numFmtId="0" fontId="110" fillId="0" borderId="0" xfId="611" applyFont="1" applyFill="1" applyAlignment="1" applyProtection="1">
      <alignment horizontal="centerContinuous" vertical="center"/>
      <protection/>
    </xf>
    <xf numFmtId="0" fontId="93" fillId="0" borderId="0" xfId="612" applyFont="1" applyFill="1" applyAlignment="1" applyProtection="1">
      <alignment horizontal="right" vertical="center"/>
      <protection/>
    </xf>
    <xf numFmtId="207" fontId="93" fillId="0" borderId="59" xfId="612" applyNumberFormat="1" applyFont="1" applyFill="1" applyBorder="1" applyAlignment="1" applyProtection="1">
      <alignment vertical="center"/>
      <protection/>
    </xf>
    <xf numFmtId="0" fontId="93" fillId="0" borderId="0" xfId="612" applyFont="1" applyFill="1" applyAlignment="1" applyProtection="1">
      <alignment horizontal="left" vertical="center"/>
      <protection/>
    </xf>
    <xf numFmtId="0" fontId="102" fillId="0" borderId="0" xfId="612" applyFont="1" applyFill="1" applyAlignment="1" applyProtection="1">
      <alignment vertical="center"/>
      <protection/>
    </xf>
    <xf numFmtId="0" fontId="104" fillId="0" borderId="0" xfId="612" applyFont="1" applyFill="1" applyProtection="1">
      <alignment/>
      <protection/>
    </xf>
    <xf numFmtId="0" fontId="112" fillId="0" borderId="0" xfId="611" applyFont="1" applyFill="1" applyAlignment="1" applyProtection="1">
      <alignment horizontal="left" vertical="center"/>
      <protection/>
    </xf>
    <xf numFmtId="0" fontId="93" fillId="0" borderId="0" xfId="612" applyFont="1" applyFill="1" applyAlignment="1" applyProtection="1">
      <alignment horizontal="centerContinuous" vertical="center"/>
      <protection/>
    </xf>
    <xf numFmtId="0" fontId="105" fillId="0" borderId="0" xfId="612" applyFont="1" applyFill="1" applyAlignment="1" applyProtection="1">
      <alignment horizontal="centerContinuous" vertical="center"/>
      <protection/>
    </xf>
    <xf numFmtId="0" fontId="105" fillId="0" borderId="0" xfId="612" applyFont="1" applyFill="1" applyAlignment="1" applyProtection="1">
      <alignment horizontal="right" vertical="center"/>
      <protection/>
    </xf>
    <xf numFmtId="9" fontId="110" fillId="0" borderId="0" xfId="612" applyNumberFormat="1" applyFont="1" applyFill="1" applyAlignment="1" applyProtection="1">
      <alignment horizontal="left" vertical="center"/>
      <protection/>
    </xf>
    <xf numFmtId="0" fontId="102" fillId="0" borderId="0" xfId="612" applyFont="1" applyFill="1" applyAlignment="1" applyProtection="1">
      <alignment horizontal="left" vertical="center"/>
      <protection/>
    </xf>
    <xf numFmtId="0" fontId="104" fillId="0" borderId="0" xfId="612" applyFont="1" applyFill="1" applyAlignment="1" applyProtection="1">
      <alignment horizontal="centerContinuous" vertical="center"/>
      <protection/>
    </xf>
    <xf numFmtId="0" fontId="110" fillId="0" borderId="0" xfId="611" applyFont="1" applyFill="1" applyAlignment="1" applyProtection="1">
      <alignment horizontal="left" vertical="center"/>
      <protection/>
    </xf>
    <xf numFmtId="0" fontId="0" fillId="0" borderId="28" xfId="612" applyFont="1" applyFill="1" applyBorder="1" applyAlignment="1" applyProtection="1">
      <alignment horizontal="justify" vertical="center"/>
      <protection/>
    </xf>
    <xf numFmtId="208" fontId="110" fillId="0" borderId="0" xfId="612" applyNumberFormat="1" applyFont="1" applyFill="1" applyAlignment="1" applyProtection="1">
      <alignment horizontal="left" vertical="center"/>
      <protection/>
    </xf>
    <xf numFmtId="9" fontId="110" fillId="0" borderId="0" xfId="649" applyFont="1" applyFill="1" applyAlignment="1" applyProtection="1">
      <alignment horizontal="left" vertical="center"/>
      <protection/>
    </xf>
    <xf numFmtId="0" fontId="113" fillId="0" borderId="0" xfId="612" applyFont="1" applyFill="1" applyAlignment="1" applyProtection="1">
      <alignment vertical="center"/>
      <protection/>
    </xf>
    <xf numFmtId="0" fontId="113" fillId="0" borderId="0" xfId="612" applyFont="1" applyFill="1" applyAlignment="1" applyProtection="1">
      <alignment horizontal="right" vertical="center"/>
      <protection/>
    </xf>
    <xf numFmtId="0" fontId="110" fillId="0" borderId="0" xfId="612" applyFont="1" applyFill="1" applyAlignment="1" applyProtection="1">
      <alignment horizontal="left" vertical="center"/>
      <protection/>
    </xf>
    <xf numFmtId="0" fontId="105" fillId="0" borderId="0" xfId="612" applyFont="1" applyFill="1" applyAlignment="1" applyProtection="1">
      <alignment horizontal="left" vertical="center"/>
      <protection/>
    </xf>
    <xf numFmtId="0" fontId="110" fillId="0" borderId="0" xfId="612" applyFont="1" applyFill="1" applyAlignment="1" applyProtection="1">
      <alignment horizontal="centerContinuous" vertical="center"/>
      <protection/>
    </xf>
    <xf numFmtId="0" fontId="108" fillId="0" borderId="0" xfId="612" applyFont="1" applyFill="1" applyAlignment="1" applyProtection="1">
      <alignment horizontal="centerContinuous" vertical="center"/>
      <protection/>
    </xf>
    <xf numFmtId="0" fontId="93" fillId="0" borderId="5" xfId="612" applyFont="1" applyFill="1" applyBorder="1" applyAlignment="1" applyProtection="1">
      <alignment horizontal="center" vertical="center"/>
      <protection/>
    </xf>
    <xf numFmtId="0" fontId="93" fillId="0" borderId="15" xfId="612" applyNumberFormat="1" applyFont="1" applyFill="1" applyBorder="1" applyAlignment="1" applyProtection="1">
      <alignment horizontal="center" vertical="center"/>
      <protection/>
    </xf>
    <xf numFmtId="0" fontId="105" fillId="0" borderId="15" xfId="612" applyFont="1" applyFill="1" applyBorder="1" applyAlignment="1" applyProtection="1">
      <alignment horizontal="justify" vertical="center" wrapText="1"/>
      <protection/>
    </xf>
    <xf numFmtId="10" fontId="105" fillId="0" borderId="15" xfId="612" applyNumberFormat="1" applyFont="1" applyFill="1" applyBorder="1" applyAlignment="1" applyProtection="1">
      <alignment horizontal="right" vertical="center"/>
      <protection/>
    </xf>
    <xf numFmtId="3" fontId="105" fillId="0" borderId="15" xfId="612" applyNumberFormat="1" applyFont="1" applyFill="1" applyBorder="1" applyAlignment="1" applyProtection="1">
      <alignment horizontal="right" vertical="center"/>
      <protection/>
    </xf>
    <xf numFmtId="0" fontId="105" fillId="0" borderId="0" xfId="612" applyFont="1" applyFill="1" applyBorder="1" applyAlignment="1" applyProtection="1">
      <alignment horizontal="center" vertical="center"/>
      <protection/>
    </xf>
    <xf numFmtId="0" fontId="105" fillId="0" borderId="0" xfId="612" applyFont="1" applyFill="1" applyBorder="1" applyAlignment="1" applyProtection="1">
      <alignment horizontal="justify" vertical="center" wrapText="1"/>
      <protection/>
    </xf>
    <xf numFmtId="3" fontId="105" fillId="0" borderId="0" xfId="612" applyNumberFormat="1" applyFont="1" applyFill="1" applyBorder="1" applyAlignment="1" applyProtection="1">
      <alignment horizontal="center" vertical="center"/>
      <protection/>
    </xf>
    <xf numFmtId="0" fontId="110" fillId="0" borderId="15" xfId="612" applyFont="1" applyFill="1" applyBorder="1" applyAlignment="1" applyProtection="1">
      <alignment horizontal="center" vertical="center"/>
      <protection/>
    </xf>
    <xf numFmtId="4" fontId="105" fillId="64" borderId="15" xfId="612" applyNumberFormat="1" applyFont="1" applyFill="1" applyBorder="1" applyAlignment="1" applyProtection="1">
      <alignment horizontal="right" vertical="center"/>
      <protection/>
    </xf>
    <xf numFmtId="4" fontId="105" fillId="0" borderId="15" xfId="612" applyNumberFormat="1" applyFont="1" applyFill="1" applyBorder="1" applyAlignment="1" applyProtection="1">
      <alignment horizontal="right" vertical="center"/>
      <protection/>
    </xf>
    <xf numFmtId="206" fontId="105" fillId="0" borderId="15" xfId="612" applyNumberFormat="1" applyFont="1" applyFill="1" applyBorder="1" applyAlignment="1" applyProtection="1">
      <alignment horizontal="right" vertical="center"/>
      <protection/>
    </xf>
    <xf numFmtId="206" fontId="93" fillId="0" borderId="15" xfId="612" applyNumberFormat="1" applyFont="1" applyFill="1" applyBorder="1" applyAlignment="1" applyProtection="1">
      <alignment horizontal="right" vertical="center"/>
      <protection/>
    </xf>
    <xf numFmtId="0" fontId="93" fillId="0" borderId="60" xfId="612" applyFont="1" applyFill="1" applyBorder="1" applyAlignment="1" applyProtection="1">
      <alignment horizontal="centerContinuous" vertical="center"/>
      <protection/>
    </xf>
    <xf numFmtId="0" fontId="93" fillId="0" borderId="60" xfId="612" applyNumberFormat="1" applyFont="1" applyFill="1" applyBorder="1" applyAlignment="1" applyProtection="1">
      <alignment horizontal="center" vertical="center"/>
      <protection/>
    </xf>
    <xf numFmtId="206" fontId="93" fillId="0" borderId="5" xfId="612" applyNumberFormat="1" applyFont="1" applyFill="1" applyBorder="1" applyAlignment="1" applyProtection="1">
      <alignment horizontal="center" vertical="center"/>
      <protection/>
    </xf>
    <xf numFmtId="184" fontId="93" fillId="0" borderId="5" xfId="612" applyNumberFormat="1" applyFont="1" applyFill="1" applyBorder="1" applyAlignment="1" applyProtection="1">
      <alignment horizontal="center" vertical="center"/>
      <protection/>
    </xf>
    <xf numFmtId="184" fontId="93" fillId="0" borderId="60" xfId="612" applyNumberFormat="1" applyFont="1" applyFill="1" applyBorder="1" applyAlignment="1" applyProtection="1">
      <alignment horizontal="center" vertical="center"/>
      <protection/>
    </xf>
    <xf numFmtId="3" fontId="105" fillId="0" borderId="60" xfId="612" applyNumberFormat="1" applyFont="1" applyFill="1" applyBorder="1" applyAlignment="1" applyProtection="1">
      <alignment horizontal="right" vertical="center"/>
      <protection/>
    </xf>
    <xf numFmtId="169" fontId="105" fillId="0" borderId="0" xfId="390" applyFont="1" applyFill="1" applyAlignment="1" applyProtection="1">
      <alignment vertical="center"/>
      <protection/>
    </xf>
    <xf numFmtId="209" fontId="105" fillId="0" borderId="0" xfId="612" applyNumberFormat="1" applyFont="1" applyFill="1" applyAlignment="1" applyProtection="1">
      <alignment vertical="center"/>
      <protection/>
    </xf>
    <xf numFmtId="3" fontId="93" fillId="0" borderId="60" xfId="612" applyNumberFormat="1" applyFont="1" applyFill="1" applyBorder="1" applyAlignment="1" applyProtection="1">
      <alignment horizontal="right" vertical="center"/>
      <protection/>
    </xf>
    <xf numFmtId="3" fontId="105" fillId="0" borderId="0" xfId="612" applyNumberFormat="1" applyFont="1" applyFill="1" applyAlignment="1" applyProtection="1">
      <alignment vertical="center"/>
      <protection/>
    </xf>
    <xf numFmtId="0" fontId="105" fillId="0" borderId="0" xfId="612" applyFont="1" applyFill="1" applyAlignment="1" applyProtection="1" quotePrefix="1">
      <alignment vertical="center"/>
      <protection/>
    </xf>
    <xf numFmtId="169" fontId="93" fillId="0" borderId="0" xfId="390" applyFont="1" applyFill="1" applyAlignment="1" applyProtection="1">
      <alignment vertical="center"/>
      <protection/>
    </xf>
    <xf numFmtId="0" fontId="110" fillId="0" borderId="0" xfId="612" applyFont="1" applyFill="1" applyAlignment="1" applyProtection="1">
      <alignment vertical="center"/>
      <protection/>
    </xf>
    <xf numFmtId="10" fontId="110" fillId="0" borderId="0" xfId="612" applyNumberFormat="1" applyFont="1" applyFill="1" applyAlignment="1" applyProtection="1">
      <alignment vertical="center"/>
      <protection/>
    </xf>
    <xf numFmtId="0" fontId="68" fillId="0" borderId="0" xfId="612" applyFont="1" applyFill="1" applyAlignment="1" applyProtection="1">
      <alignment vertical="center"/>
      <protection/>
    </xf>
    <xf numFmtId="0" fontId="90" fillId="0" borderId="0" xfId="601" applyFont="1" applyFill="1" applyBorder="1" applyAlignment="1">
      <alignment horizontal="center" vertical="center" wrapText="1"/>
      <protection/>
    </xf>
    <xf numFmtId="0" fontId="61" fillId="0" borderId="0" xfId="601" applyFont="1" applyFill="1" applyBorder="1" applyAlignment="1">
      <alignment horizontal="center" vertical="center" wrapText="1"/>
      <protection/>
    </xf>
    <xf numFmtId="0" fontId="83" fillId="0" borderId="34" xfId="601" applyFont="1" applyFill="1" applyBorder="1" applyAlignment="1">
      <alignment horizontal="right" vertical="center" wrapText="1"/>
      <protection/>
    </xf>
    <xf numFmtId="0" fontId="63" fillId="0" borderId="15" xfId="0" applyFont="1" applyBorder="1" applyAlignment="1">
      <alignment horizontal="center" vertical="center" wrapText="1"/>
    </xf>
    <xf numFmtId="0" fontId="97" fillId="0" borderId="15" xfId="0" applyFont="1" applyBorder="1" applyAlignment="1">
      <alignment wrapText="1"/>
    </xf>
    <xf numFmtId="0" fontId="63" fillId="0" borderId="15" xfId="0" applyFont="1" applyBorder="1" applyAlignment="1">
      <alignment wrapText="1"/>
    </xf>
    <xf numFmtId="0" fontId="71" fillId="0" borderId="52" xfId="601" applyFont="1" applyFill="1" applyBorder="1" applyAlignment="1">
      <alignment horizontal="center" vertical="center" wrapText="1"/>
      <protection/>
    </xf>
    <xf numFmtId="0" fontId="71" fillId="0" borderId="19" xfId="601" applyFont="1" applyFill="1" applyBorder="1" applyAlignment="1">
      <alignment vertical="center" wrapText="1"/>
      <protection/>
    </xf>
    <xf numFmtId="0" fontId="71" fillId="0" borderId="19" xfId="601" applyFont="1" applyFill="1" applyBorder="1" applyAlignment="1">
      <alignment horizontal="center" vertical="center" wrapText="1"/>
      <protection/>
    </xf>
    <xf numFmtId="0" fontId="91" fillId="0" borderId="0" xfId="601" applyFont="1" applyFill="1" applyAlignment="1">
      <alignment horizontal="center" wrapText="1"/>
      <protection/>
    </xf>
    <xf numFmtId="0" fontId="69" fillId="0" borderId="0" xfId="601" applyFont="1" applyFill="1" applyBorder="1" applyAlignment="1">
      <alignment horizontal="right" vertical="top" wrapText="1"/>
      <protection/>
    </xf>
    <xf numFmtId="0" fontId="68" fillId="0" borderId="0" xfId="601" applyFont="1" applyFill="1" applyAlignment="1">
      <alignment horizontal="center" vertical="center" wrapText="1"/>
      <protection/>
    </xf>
    <xf numFmtId="170" fontId="70" fillId="0" borderId="0" xfId="601" applyNumberFormat="1" applyFont="1" applyFill="1" applyBorder="1" applyAlignment="1">
      <alignment horizontal="right" vertical="center" wrapText="1"/>
      <protection/>
    </xf>
    <xf numFmtId="170" fontId="71" fillId="0" borderId="0" xfId="601" applyNumberFormat="1" applyFont="1" applyFill="1" applyBorder="1" applyAlignment="1">
      <alignment horizontal="right" vertical="center" wrapText="1"/>
      <protection/>
    </xf>
    <xf numFmtId="170" fontId="70" fillId="63" borderId="0" xfId="601" applyNumberFormat="1" applyFont="1" applyFill="1" applyBorder="1" applyAlignment="1">
      <alignment horizontal="right" vertical="center" wrapText="1"/>
      <protection/>
    </xf>
    <xf numFmtId="170" fontId="71" fillId="63" borderId="0" xfId="390" applyNumberFormat="1" applyFont="1" applyFill="1" applyBorder="1" applyAlignment="1">
      <alignment horizontal="right" vertical="center" wrapText="1"/>
    </xf>
    <xf numFmtId="170" fontId="71" fillId="0" borderId="0" xfId="390" applyNumberFormat="1" applyFont="1" applyFill="1" applyBorder="1" applyAlignment="1">
      <alignment horizontal="right" vertical="center" wrapText="1"/>
    </xf>
    <xf numFmtId="0" fontId="72" fillId="0" borderId="0" xfId="601" applyFont="1" applyFill="1" applyBorder="1" applyAlignment="1">
      <alignment horizontal="right" wrapText="1"/>
      <protection/>
    </xf>
    <xf numFmtId="0" fontId="235" fillId="0" borderId="0" xfId="0" applyFont="1" applyFill="1" applyAlignment="1">
      <alignment/>
    </xf>
    <xf numFmtId="0" fontId="235" fillId="0" borderId="0" xfId="0" applyFont="1" applyAlignment="1">
      <alignment/>
    </xf>
    <xf numFmtId="0" fontId="236" fillId="0" borderId="0" xfId="0" applyFont="1" applyAlignment="1">
      <alignment/>
    </xf>
    <xf numFmtId="0" fontId="116" fillId="65" borderId="0" xfId="0" applyFont="1" applyFill="1" applyAlignment="1">
      <alignment/>
    </xf>
    <xf numFmtId="0" fontId="116" fillId="0" borderId="0" xfId="0" applyFont="1" applyFill="1" applyAlignment="1">
      <alignment/>
    </xf>
    <xf numFmtId="0" fontId="117" fillId="65" borderId="0" xfId="550" applyFont="1" applyFill="1" applyAlignment="1" applyProtection="1">
      <alignment vertical="center"/>
      <protection/>
    </xf>
    <xf numFmtId="0" fontId="118" fillId="65" borderId="0" xfId="0" applyFont="1" applyFill="1" applyAlignment="1">
      <alignment vertical="center"/>
    </xf>
    <xf numFmtId="0" fontId="118" fillId="65" borderId="0" xfId="0" applyFont="1" applyFill="1" applyAlignment="1">
      <alignment/>
    </xf>
    <xf numFmtId="0" fontId="118" fillId="0" borderId="0" xfId="0" applyFont="1" applyFill="1" applyAlignment="1">
      <alignment/>
    </xf>
    <xf numFmtId="0" fontId="237" fillId="66" borderId="0" xfId="0" applyFont="1" applyFill="1" applyAlignment="1">
      <alignment horizontal="center" vertical="center" wrapText="1"/>
    </xf>
    <xf numFmtId="0" fontId="238" fillId="65" borderId="0" xfId="0" applyFont="1" applyFill="1" applyAlignment="1">
      <alignment vertical="center"/>
    </xf>
    <xf numFmtId="0" fontId="238" fillId="0" borderId="0" xfId="0" applyFont="1" applyFill="1" applyAlignment="1">
      <alignment/>
    </xf>
    <xf numFmtId="0" fontId="235" fillId="65" borderId="0" xfId="0" applyFont="1" applyFill="1" applyAlignment="1">
      <alignment/>
    </xf>
    <xf numFmtId="0" fontId="235" fillId="0" borderId="0" xfId="0" applyFont="1" applyFill="1" applyAlignment="1">
      <alignment horizontal="center" vertical="center" wrapText="1"/>
    </xf>
    <xf numFmtId="0" fontId="239" fillId="0" borderId="15" xfId="0" applyFont="1" applyFill="1" applyBorder="1" applyAlignment="1">
      <alignment horizontal="center"/>
    </xf>
    <xf numFmtId="0" fontId="239" fillId="67" borderId="15" xfId="0" applyFont="1" applyFill="1" applyBorder="1" applyAlignment="1">
      <alignment horizontal="center"/>
    </xf>
    <xf numFmtId="0" fontId="239" fillId="68" borderId="15" xfId="0" applyFont="1" applyFill="1" applyBorder="1" applyAlignment="1">
      <alignment horizontal="center"/>
    </xf>
    <xf numFmtId="0" fontId="239" fillId="0" borderId="15" xfId="0" applyFont="1" applyBorder="1" applyAlignment="1">
      <alignment horizontal="center" vertical="center"/>
    </xf>
    <xf numFmtId="3" fontId="239" fillId="0" borderId="15" xfId="0" applyNumberFormat="1" applyFont="1" applyBorder="1" applyAlignment="1">
      <alignment horizontal="center" vertical="center"/>
    </xf>
    <xf numFmtId="0" fontId="235" fillId="0" borderId="15" xfId="0" applyFont="1" applyBorder="1" applyAlignment="1">
      <alignment horizontal="center" vertical="center"/>
    </xf>
    <xf numFmtId="0" fontId="235" fillId="0" borderId="15" xfId="0" applyFont="1" applyBorder="1" applyAlignment="1">
      <alignment/>
    </xf>
    <xf numFmtId="184" fontId="235" fillId="0" borderId="15" xfId="0" applyNumberFormat="1" applyFont="1" applyBorder="1" applyAlignment="1">
      <alignment horizontal="center" vertical="center"/>
    </xf>
    <xf numFmtId="184" fontId="239" fillId="0" borderId="15" xfId="0" applyNumberFormat="1" applyFont="1" applyFill="1" applyBorder="1" applyAlignment="1">
      <alignment horizontal="center"/>
    </xf>
    <xf numFmtId="184" fontId="235" fillId="67" borderId="15" xfId="0" applyNumberFormat="1" applyFont="1" applyFill="1" applyBorder="1" applyAlignment="1">
      <alignment horizontal="center"/>
    </xf>
    <xf numFmtId="184" fontId="235" fillId="68" borderId="15" xfId="0" applyNumberFormat="1" applyFont="1" applyFill="1" applyBorder="1" applyAlignment="1">
      <alignment horizontal="center"/>
    </xf>
    <xf numFmtId="0" fontId="235" fillId="68" borderId="15" xfId="0" applyFont="1" applyFill="1" applyBorder="1" applyAlignment="1">
      <alignment horizontal="center"/>
    </xf>
    <xf numFmtId="184" fontId="235" fillId="0" borderId="15" xfId="0" applyNumberFormat="1" applyFont="1" applyFill="1" applyBorder="1" applyAlignment="1">
      <alignment horizontal="center"/>
    </xf>
    <xf numFmtId="184" fontId="235" fillId="68" borderId="0" xfId="0" applyNumberFormat="1" applyFont="1" applyFill="1" applyBorder="1" applyAlignment="1">
      <alignment horizontal="center"/>
    </xf>
    <xf numFmtId="0" fontId="239" fillId="50" borderId="15" xfId="0" applyFont="1" applyFill="1" applyBorder="1" applyAlignment="1">
      <alignment horizontal="center"/>
    </xf>
    <xf numFmtId="0" fontId="239" fillId="0" borderId="0" xfId="0" applyFont="1" applyBorder="1" applyAlignment="1">
      <alignment vertical="center"/>
    </xf>
    <xf numFmtId="2" fontId="235" fillId="0" borderId="15" xfId="0" applyNumberFormat="1" applyFont="1" applyBorder="1" applyAlignment="1">
      <alignment horizontal="center" vertical="center"/>
    </xf>
    <xf numFmtId="2" fontId="235" fillId="0" borderId="15" xfId="0" applyNumberFormat="1" applyFont="1" applyBorder="1" applyAlignment="1">
      <alignment horizontal="center"/>
    </xf>
    <xf numFmtId="2" fontId="235" fillId="50" borderId="15" xfId="0" applyNumberFormat="1" applyFont="1" applyFill="1" applyBorder="1" applyAlignment="1">
      <alignment horizontal="center"/>
    </xf>
    <xf numFmtId="2" fontId="235" fillId="67" borderId="15" xfId="0" applyNumberFormat="1" applyFont="1" applyFill="1" applyBorder="1" applyAlignment="1">
      <alignment horizontal="center"/>
    </xf>
    <xf numFmtId="2" fontId="235" fillId="68" borderId="15" xfId="0" applyNumberFormat="1" applyFont="1" applyFill="1" applyBorder="1" applyAlignment="1">
      <alignment horizontal="center"/>
    </xf>
    <xf numFmtId="0" fontId="239" fillId="0" borderId="0" xfId="0" applyFont="1" applyAlignment="1">
      <alignment/>
    </xf>
    <xf numFmtId="0" fontId="239" fillId="0" borderId="28" xfId="0" applyFont="1" applyBorder="1" applyAlignment="1">
      <alignment/>
    </xf>
    <xf numFmtId="0" fontId="239" fillId="0" borderId="10" xfId="0" applyFont="1" applyBorder="1" applyAlignment="1">
      <alignment/>
    </xf>
    <xf numFmtId="0" fontId="239" fillId="0" borderId="61" xfId="0" applyFont="1" applyBorder="1" applyAlignment="1">
      <alignment/>
    </xf>
    <xf numFmtId="0" fontId="235" fillId="0" borderId="15" xfId="0" applyFont="1" applyFill="1" applyBorder="1" applyAlignment="1">
      <alignment/>
    </xf>
    <xf numFmtId="2" fontId="235" fillId="0" borderId="15" xfId="0" applyNumberFormat="1" applyFont="1" applyFill="1" applyBorder="1" applyAlignment="1">
      <alignment horizontal="center"/>
    </xf>
    <xf numFmtId="2" fontId="239" fillId="0" borderId="10" xfId="0" applyNumberFormat="1" applyFont="1" applyBorder="1" applyAlignment="1">
      <alignment/>
    </xf>
    <xf numFmtId="2" fontId="239" fillId="0" borderId="61" xfId="0" applyNumberFormat="1" applyFont="1" applyBorder="1" applyAlignment="1">
      <alignment/>
    </xf>
    <xf numFmtId="2" fontId="235" fillId="0" borderId="15" xfId="0" applyNumberFormat="1" applyFont="1" applyFill="1" applyBorder="1" applyAlignment="1">
      <alignment horizontal="center" vertical="center"/>
    </xf>
    <xf numFmtId="184" fontId="235" fillId="50" borderId="15" xfId="0" applyNumberFormat="1" applyFont="1" applyFill="1" applyBorder="1" applyAlignment="1">
      <alignment horizontal="center"/>
    </xf>
    <xf numFmtId="170" fontId="83" fillId="64" borderId="15" xfId="390" applyNumberFormat="1" applyFont="1" applyFill="1" applyBorder="1" applyAlignment="1">
      <alignment horizontal="center" vertical="center" wrapText="1"/>
    </xf>
    <xf numFmtId="0" fontId="84" fillId="0" borderId="15" xfId="601" applyFont="1" applyFill="1" applyBorder="1" applyAlignment="1">
      <alignment horizontal="right" vertical="center" wrapText="1"/>
      <protection/>
    </xf>
    <xf numFmtId="170" fontId="83" fillId="63" borderId="0" xfId="601" applyNumberFormat="1" applyFont="1" applyFill="1" applyAlignment="1">
      <alignment horizontal="right" vertical="center" wrapText="1"/>
      <protection/>
    </xf>
    <xf numFmtId="0" fontId="70" fillId="0" borderId="0" xfId="601" applyFont="1" applyFill="1" applyAlignment="1">
      <alignment horizontal="right" vertical="center" wrapText="1"/>
      <protection/>
    </xf>
    <xf numFmtId="0" fontId="83" fillId="64" borderId="15" xfId="601" applyFont="1" applyFill="1" applyBorder="1" applyAlignment="1">
      <alignment horizontal="right" vertical="center" wrapText="1"/>
      <protection/>
    </xf>
    <xf numFmtId="2" fontId="239" fillId="50" borderId="15" xfId="0" applyNumberFormat="1" applyFont="1" applyFill="1" applyBorder="1" applyAlignment="1">
      <alignment horizontal="center"/>
    </xf>
    <xf numFmtId="0" fontId="83" fillId="0" borderId="15" xfId="601" applyFont="1" applyFill="1" applyBorder="1" applyAlignment="1">
      <alignment horizontal="left" vertical="top" wrapText="1"/>
      <protection/>
    </xf>
    <xf numFmtId="10" fontId="105" fillId="64" borderId="0" xfId="612" applyNumberFormat="1" applyFont="1" applyFill="1" applyAlignment="1" applyProtection="1">
      <alignment vertical="center"/>
      <protection/>
    </xf>
    <xf numFmtId="0" fontId="63" fillId="0" borderId="0" xfId="0" applyFont="1" applyAlignment="1">
      <alignment horizontal="center"/>
    </xf>
    <xf numFmtId="0" fontId="63" fillId="0" borderId="0" xfId="0" applyFont="1" applyAlignment="1">
      <alignment/>
    </xf>
    <xf numFmtId="0" fontId="63" fillId="0" borderId="15" xfId="0" applyFont="1" applyBorder="1" applyAlignment="1">
      <alignment/>
    </xf>
    <xf numFmtId="210" fontId="63" fillId="63" borderId="15" xfId="390" applyNumberFormat="1" applyFont="1" applyFill="1" applyBorder="1" applyAlignment="1">
      <alignment/>
    </xf>
    <xf numFmtId="169" fontId="63" fillId="63" borderId="15" xfId="390" applyFont="1" applyFill="1" applyBorder="1" applyAlignment="1">
      <alignment/>
    </xf>
    <xf numFmtId="0" fontId="63" fillId="0" borderId="15" xfId="0" applyFont="1" applyFill="1" applyBorder="1" applyAlignment="1">
      <alignment/>
    </xf>
    <xf numFmtId="203" fontId="63" fillId="64" borderId="15" xfId="0" applyNumberFormat="1" applyFont="1" applyFill="1" applyBorder="1" applyAlignment="1">
      <alignment/>
    </xf>
    <xf numFmtId="0" fontId="63" fillId="63" borderId="0" xfId="0" applyFont="1" applyFill="1" applyAlignment="1">
      <alignment/>
    </xf>
    <xf numFmtId="169" fontId="63" fillId="0" borderId="15" xfId="390" applyFont="1" applyBorder="1" applyAlignment="1">
      <alignment/>
    </xf>
    <xf numFmtId="0" fontId="97" fillId="0" borderId="15" xfId="0" applyFont="1" applyBorder="1" applyAlignment="1">
      <alignment horizontal="right" wrapText="1"/>
    </xf>
    <xf numFmtId="0" fontId="63" fillId="0" borderId="0" xfId="0" applyFont="1" applyAlignment="1">
      <alignment/>
    </xf>
    <xf numFmtId="0" fontId="240" fillId="0" borderId="61" xfId="0" applyFont="1" applyFill="1" applyBorder="1" applyAlignment="1">
      <alignment horizontal="center"/>
    </xf>
    <xf numFmtId="0" fontId="240" fillId="0" borderId="15" xfId="0" applyFont="1" applyFill="1" applyBorder="1" applyAlignment="1">
      <alignment horizontal="center"/>
    </xf>
    <xf numFmtId="1" fontId="97" fillId="0" borderId="15" xfId="0" applyNumberFormat="1" applyFont="1" applyBorder="1" applyAlignment="1">
      <alignment wrapText="1"/>
    </xf>
    <xf numFmtId="2" fontId="240" fillId="0" borderId="61" xfId="0" applyNumberFormat="1" applyFont="1" applyFill="1" applyBorder="1" applyAlignment="1">
      <alignment horizontal="right" vertical="top" wrapText="1"/>
    </xf>
    <xf numFmtId="1" fontId="240" fillId="0" borderId="15" xfId="0" applyNumberFormat="1" applyFont="1" applyFill="1" applyBorder="1" applyAlignment="1">
      <alignment horizontal="right" vertical="center"/>
    </xf>
    <xf numFmtId="205" fontId="63" fillId="0" borderId="15" xfId="0" applyNumberFormat="1" applyFont="1" applyBorder="1" applyAlignment="1">
      <alignment horizontal="center" wrapText="1"/>
    </xf>
    <xf numFmtId="205" fontId="241" fillId="0" borderId="15" xfId="0" applyNumberFormat="1" applyFont="1" applyFill="1" applyBorder="1" applyAlignment="1">
      <alignment horizontal="right" vertical="center"/>
    </xf>
    <xf numFmtId="184" fontId="241" fillId="0" borderId="15" xfId="0" applyNumberFormat="1" applyFont="1" applyFill="1" applyBorder="1" applyAlignment="1">
      <alignment horizontal="right" vertical="center"/>
    </xf>
    <xf numFmtId="205" fontId="63" fillId="0" borderId="0" xfId="0" applyNumberFormat="1" applyFont="1" applyAlignment="1">
      <alignment/>
    </xf>
    <xf numFmtId="205" fontId="241" fillId="64" borderId="61" xfId="0" applyNumberFormat="1" applyFont="1" applyFill="1" applyBorder="1" applyAlignment="1">
      <alignment horizontal="right" vertical="center"/>
    </xf>
    <xf numFmtId="205" fontId="242" fillId="0" borderId="0" xfId="601" applyNumberFormat="1" applyFont="1" applyFill="1" applyAlignment="1">
      <alignment horizontal="right" vertical="center" wrapText="1"/>
      <protection/>
    </xf>
    <xf numFmtId="205" fontId="84" fillId="0" borderId="0" xfId="601" applyNumberFormat="1" applyFont="1" applyFill="1" applyAlignment="1">
      <alignment horizontal="right" vertical="center" wrapText="1"/>
      <protection/>
    </xf>
    <xf numFmtId="184" fontId="84" fillId="0" borderId="0" xfId="601" applyNumberFormat="1" applyFont="1" applyFill="1" applyAlignment="1">
      <alignment horizontal="right" vertical="center" wrapText="1"/>
      <protection/>
    </xf>
    <xf numFmtId="1" fontId="63" fillId="0" borderId="15" xfId="0" applyNumberFormat="1" applyFont="1" applyBorder="1" applyAlignment="1">
      <alignment horizontal="right" wrapText="1"/>
    </xf>
    <xf numFmtId="10" fontId="84" fillId="64" borderId="15" xfId="601" applyNumberFormat="1" applyFont="1" applyFill="1" applyBorder="1" applyAlignment="1">
      <alignment horizontal="right" vertical="center" wrapText="1"/>
      <protection/>
    </xf>
    <xf numFmtId="0" fontId="235" fillId="0" borderId="0" xfId="0" applyFont="1" applyBorder="1" applyAlignment="1">
      <alignment/>
    </xf>
    <xf numFmtId="170" fontId="234" fillId="63" borderId="19" xfId="601" applyNumberFormat="1" applyFont="1" applyFill="1" applyBorder="1" applyAlignment="1">
      <alignment horizontal="right" vertical="center" wrapText="1"/>
      <protection/>
    </xf>
    <xf numFmtId="170" fontId="71" fillId="63" borderId="19" xfId="601" applyNumberFormat="1" applyFont="1" applyFill="1" applyBorder="1" applyAlignment="1">
      <alignment horizontal="right" vertical="center" wrapText="1"/>
      <protection/>
    </xf>
    <xf numFmtId="170" fontId="71" fillId="63" borderId="53" xfId="390" applyNumberFormat="1" applyFont="1" applyFill="1" applyBorder="1" applyAlignment="1">
      <alignment horizontal="right" vertical="center" wrapText="1"/>
    </xf>
    <xf numFmtId="0" fontId="84" fillId="64" borderId="15" xfId="601" applyFont="1" applyFill="1" applyBorder="1" applyAlignment="1">
      <alignment horizontal="right" vertical="center" wrapText="1"/>
      <protection/>
    </xf>
    <xf numFmtId="10" fontId="84" fillId="63" borderId="0" xfId="601" applyNumberFormat="1" applyFont="1" applyFill="1" applyBorder="1" applyAlignment="1">
      <alignment horizontal="right" vertical="center" wrapText="1"/>
      <protection/>
    </xf>
    <xf numFmtId="0" fontId="59" fillId="0" borderId="0" xfId="0" applyFont="1" applyAlignment="1">
      <alignment/>
    </xf>
    <xf numFmtId="0" fontId="59" fillId="0" borderId="15" xfId="0" applyFont="1" applyBorder="1" applyAlignment="1">
      <alignment horizontal="center"/>
    </xf>
    <xf numFmtId="0" fontId="59" fillId="64" borderId="15" xfId="0" applyFont="1" applyFill="1" applyBorder="1" applyAlignment="1">
      <alignment/>
    </xf>
    <xf numFmtId="0" fontId="59" fillId="64" borderId="15" xfId="0" applyFont="1" applyFill="1" applyBorder="1" applyAlignment="1">
      <alignment vertical="center"/>
    </xf>
    <xf numFmtId="170" fontId="235" fillId="63" borderId="34" xfId="601" applyNumberFormat="1" applyFont="1" applyFill="1" applyBorder="1" applyAlignment="1">
      <alignment horizontal="right" vertical="center" wrapText="1"/>
      <protection/>
    </xf>
    <xf numFmtId="0" fontId="239" fillId="0" borderId="15" xfId="0" applyFont="1" applyBorder="1" applyAlignment="1">
      <alignment horizontal="center" vertical="center"/>
    </xf>
    <xf numFmtId="0" fontId="239" fillId="0" borderId="0" xfId="0" applyFont="1" applyAlignment="1">
      <alignment/>
    </xf>
    <xf numFmtId="0" fontId="59" fillId="0" borderId="34" xfId="0" applyFont="1" applyFill="1" applyBorder="1" applyAlignment="1">
      <alignment horizontal="center" wrapText="1"/>
    </xf>
    <xf numFmtId="4" fontId="84" fillId="0" borderId="0" xfId="601" applyNumberFormat="1" applyFont="1" applyFill="1" applyAlignment="1">
      <alignment horizontal="right" vertical="center" wrapText="1"/>
      <protection/>
    </xf>
    <xf numFmtId="0" fontId="98" fillId="0" borderId="0" xfId="0" applyFont="1" applyFill="1" applyAlignment="1">
      <alignment horizontal="centerContinuous"/>
    </xf>
    <xf numFmtId="0" fontId="120" fillId="0" borderId="0" xfId="0" applyFont="1" applyFill="1" applyAlignment="1">
      <alignment/>
    </xf>
    <xf numFmtId="0" fontId="59" fillId="0" borderId="0" xfId="0" applyFont="1" applyFill="1" applyAlignment="1">
      <alignment/>
    </xf>
    <xf numFmtId="0" fontId="61" fillId="12" borderId="15" xfId="0" applyFont="1" applyFill="1" applyBorder="1" applyAlignment="1">
      <alignment horizontal="center"/>
    </xf>
    <xf numFmtId="170" fontId="61" fillId="12" borderId="15" xfId="390" applyNumberFormat="1" applyFont="1" applyFill="1" applyBorder="1" applyAlignment="1">
      <alignment horizontal="center"/>
    </xf>
    <xf numFmtId="0" fontId="59" fillId="0" borderId="0" xfId="0" applyFont="1" applyFill="1" applyAlignment="1">
      <alignment horizontal="center"/>
    </xf>
    <xf numFmtId="0" fontId="68" fillId="0" borderId="15" xfId="0" applyFont="1" applyFill="1" applyBorder="1" applyAlignment="1">
      <alignment horizontal="center"/>
    </xf>
    <xf numFmtId="0" fontId="68" fillId="0" borderId="7" xfId="0" applyFont="1" applyFill="1" applyBorder="1" applyAlignment="1">
      <alignment/>
    </xf>
    <xf numFmtId="0" fontId="68" fillId="0" borderId="7" xfId="0" applyFont="1" applyFill="1" applyBorder="1" applyAlignment="1">
      <alignment horizontal="center"/>
    </xf>
    <xf numFmtId="170" fontId="61" fillId="0" borderId="7" xfId="390" applyNumberFormat="1" applyFont="1" applyFill="1" applyBorder="1" applyAlignment="1">
      <alignment horizontal="right"/>
    </xf>
    <xf numFmtId="0" fontId="94" fillId="0" borderId="7" xfId="0" applyFont="1" applyFill="1" applyBorder="1" applyAlignment="1">
      <alignment/>
    </xf>
    <xf numFmtId="0" fontId="94" fillId="0" borderId="0" xfId="0" applyFont="1" applyFill="1" applyAlignment="1">
      <alignment/>
    </xf>
    <xf numFmtId="0" fontId="59" fillId="0" borderId="19" xfId="0" applyFont="1" applyFill="1" applyBorder="1" applyAlignment="1">
      <alignment horizontal="center" wrapText="1"/>
    </xf>
    <xf numFmtId="0" fontId="59" fillId="0" borderId="62" xfId="0" applyFont="1" applyFill="1" applyBorder="1" applyAlignment="1">
      <alignment/>
    </xf>
    <xf numFmtId="0" fontId="59" fillId="0" borderId="19" xfId="0" applyFont="1" applyFill="1" applyBorder="1" applyAlignment="1">
      <alignment horizontal="center"/>
    </xf>
    <xf numFmtId="170" fontId="59" fillId="0" borderId="19" xfId="390" applyNumberFormat="1" applyFont="1" applyFill="1" applyBorder="1" applyAlignment="1">
      <alignment horizontal="center" vertical="center" wrapText="1"/>
    </xf>
    <xf numFmtId="170" fontId="61" fillId="64" borderId="0" xfId="0" applyNumberFormat="1" applyFont="1" applyFill="1" applyAlignment="1">
      <alignment horizontal="center" vertical="center"/>
    </xf>
    <xf numFmtId="0" fontId="59" fillId="0" borderId="63" xfId="0" applyFont="1" applyFill="1" applyBorder="1" applyAlignment="1">
      <alignment/>
    </xf>
    <xf numFmtId="0" fontId="59" fillId="0" borderId="34" xfId="0" applyFont="1" applyFill="1" applyBorder="1" applyAlignment="1">
      <alignment horizontal="center"/>
    </xf>
    <xf numFmtId="170" fontId="59" fillId="0" borderId="34" xfId="390" applyNumberFormat="1" applyFont="1" applyFill="1" applyBorder="1" applyAlignment="1">
      <alignment horizontal="center" vertical="center" wrapText="1"/>
    </xf>
    <xf numFmtId="170" fontId="59" fillId="64" borderId="0" xfId="0" applyNumberFormat="1" applyFont="1" applyFill="1" applyAlignment="1">
      <alignment/>
    </xf>
    <xf numFmtId="0" fontId="59" fillId="63" borderId="34" xfId="0" applyFont="1" applyFill="1" applyBorder="1" applyAlignment="1">
      <alignment horizontal="center"/>
    </xf>
    <xf numFmtId="0" fontId="61" fillId="0" borderId="19" xfId="0" applyFont="1" applyFill="1" applyBorder="1" applyAlignment="1">
      <alignment horizontal="center"/>
    </xf>
    <xf numFmtId="0" fontId="61" fillId="0" borderId="19" xfId="0" applyFont="1" applyFill="1" applyBorder="1" applyAlignment="1">
      <alignment/>
    </xf>
    <xf numFmtId="170" fontId="61" fillId="0" borderId="19" xfId="390" applyNumberFormat="1" applyFont="1" applyFill="1" applyBorder="1" applyAlignment="1">
      <alignment/>
    </xf>
    <xf numFmtId="170" fontId="59" fillId="64" borderId="0" xfId="0" applyNumberFormat="1" applyFont="1" applyFill="1" applyAlignment="1">
      <alignment/>
    </xf>
    <xf numFmtId="0" fontId="59" fillId="0" borderId="34" xfId="0" applyFont="1" applyFill="1" applyBorder="1" applyAlignment="1">
      <alignment/>
    </xf>
    <xf numFmtId="170" fontId="59" fillId="0" borderId="34" xfId="390" applyNumberFormat="1" applyFont="1" applyFill="1" applyBorder="1" applyAlignment="1">
      <alignment/>
    </xf>
    <xf numFmtId="170" fontId="59" fillId="64" borderId="0" xfId="0" applyNumberFormat="1" applyFont="1" applyFill="1" applyAlignment="1">
      <alignment horizontal="right"/>
    </xf>
    <xf numFmtId="0" fontId="61" fillId="0" borderId="39" xfId="0" applyFont="1" applyFill="1" applyBorder="1" applyAlignment="1">
      <alignment horizontal="center"/>
    </xf>
    <xf numFmtId="0" fontId="61" fillId="0" borderId="39" xfId="0" applyFont="1" applyFill="1" applyBorder="1" applyAlignment="1">
      <alignment/>
    </xf>
    <xf numFmtId="170" fontId="61" fillId="0" borderId="39" xfId="390" applyNumberFormat="1" applyFont="1" applyFill="1" applyBorder="1" applyAlignment="1">
      <alignment/>
    </xf>
    <xf numFmtId="170" fontId="59" fillId="0" borderId="0" xfId="0" applyNumberFormat="1" applyFont="1" applyFill="1" applyAlignment="1">
      <alignment/>
    </xf>
    <xf numFmtId="0" fontId="61" fillId="0" borderId="15" xfId="0" applyFont="1" applyFill="1" applyBorder="1" applyAlignment="1">
      <alignment horizontal="center" vertical="center"/>
    </xf>
    <xf numFmtId="0" fontId="61" fillId="0" borderId="15" xfId="0" applyFont="1" applyFill="1" applyBorder="1" applyAlignment="1">
      <alignment vertical="center"/>
    </xf>
    <xf numFmtId="0" fontId="59" fillId="0" borderId="15" xfId="0" applyFont="1" applyFill="1" applyBorder="1" applyAlignment="1">
      <alignment horizontal="center" vertical="center"/>
    </xf>
    <xf numFmtId="170" fontId="61" fillId="0" borderId="15" xfId="390" applyNumberFormat="1" applyFont="1" applyFill="1" applyBorder="1" applyAlignment="1">
      <alignment vertical="center"/>
    </xf>
    <xf numFmtId="0" fontId="37" fillId="0" borderId="0" xfId="0" applyFont="1" applyFill="1" applyAlignment="1">
      <alignment horizontal="center"/>
    </xf>
    <xf numFmtId="0" fontId="37" fillId="0" borderId="0" xfId="0" applyFont="1" applyFill="1" applyAlignment="1">
      <alignment/>
    </xf>
    <xf numFmtId="170" fontId="37" fillId="0" borderId="0" xfId="390" applyNumberFormat="1" applyFont="1" applyFill="1" applyAlignment="1">
      <alignment/>
    </xf>
    <xf numFmtId="170" fontId="59" fillId="63" borderId="0" xfId="0" applyNumberFormat="1" applyFont="1" applyFill="1" applyAlignment="1">
      <alignment/>
    </xf>
    <xf numFmtId="0" fontId="59" fillId="63" borderId="0" xfId="0" applyFont="1" applyFill="1" applyAlignment="1">
      <alignment/>
    </xf>
    <xf numFmtId="0" fontId="59" fillId="0" borderId="15" xfId="0" applyFont="1" applyFill="1" applyBorder="1" applyAlignment="1">
      <alignment horizontal="center"/>
    </xf>
    <xf numFmtId="0" fontId="59" fillId="0" borderId="39" xfId="0" applyFont="1" applyFill="1" applyBorder="1" applyAlignment="1">
      <alignment horizontal="center"/>
    </xf>
    <xf numFmtId="170" fontId="37" fillId="0" borderId="0" xfId="0" applyNumberFormat="1" applyFont="1" applyFill="1" applyAlignment="1">
      <alignment/>
    </xf>
    <xf numFmtId="0" fontId="59" fillId="0" borderId="40" xfId="0" applyFont="1" applyFill="1" applyBorder="1" applyAlignment="1">
      <alignment horizontal="center" wrapText="1"/>
    </xf>
    <xf numFmtId="0" fontId="59" fillId="63" borderId="40" xfId="0" applyFont="1" applyFill="1" applyBorder="1" applyAlignment="1">
      <alignment horizontal="center"/>
    </xf>
    <xf numFmtId="170" fontId="59" fillId="0" borderId="40" xfId="390" applyNumberFormat="1" applyFont="1" applyFill="1" applyBorder="1" applyAlignment="1">
      <alignment horizontal="center" vertical="center" wrapText="1"/>
    </xf>
    <xf numFmtId="0" fontId="59" fillId="0" borderId="35" xfId="0" applyFont="1" applyFill="1" applyBorder="1" applyAlignment="1">
      <alignment/>
    </xf>
    <xf numFmtId="0" fontId="59" fillId="0" borderId="34" xfId="601" applyFont="1" applyFill="1" applyBorder="1" applyAlignment="1">
      <alignment horizontal="left" vertical="center" wrapText="1"/>
      <protection/>
    </xf>
    <xf numFmtId="4" fontId="60" fillId="0" borderId="34" xfId="0" applyNumberFormat="1"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63" borderId="34" xfId="0" applyFont="1" applyFill="1" applyBorder="1" applyAlignment="1">
      <alignment horizontal="center"/>
    </xf>
    <xf numFmtId="0" fontId="61" fillId="0" borderId="15" xfId="0" applyFont="1" applyFill="1" applyBorder="1" applyAlignment="1">
      <alignment horizontal="center"/>
    </xf>
    <xf numFmtId="0" fontId="61" fillId="0" borderId="15" xfId="0" applyFont="1" applyFill="1" applyBorder="1" applyAlignment="1">
      <alignment/>
    </xf>
    <xf numFmtId="170" fontId="61" fillId="0" borderId="15" xfId="390" applyNumberFormat="1" applyFont="1" applyFill="1" applyBorder="1" applyAlignment="1">
      <alignment/>
    </xf>
    <xf numFmtId="0" fontId="59" fillId="0" borderId="40" xfId="601" applyFont="1" applyFill="1" applyBorder="1" applyAlignment="1">
      <alignment horizontal="left" vertical="center" wrapText="1"/>
      <protection/>
    </xf>
    <xf numFmtId="0" fontId="59" fillId="0" borderId="40" xfId="0" applyFont="1" applyFill="1" applyBorder="1" applyAlignment="1">
      <alignment horizontal="center"/>
    </xf>
    <xf numFmtId="0" fontId="68" fillId="0" borderId="15" xfId="0" applyFont="1" applyFill="1" applyBorder="1" applyAlignment="1">
      <alignment/>
    </xf>
    <xf numFmtId="170" fontId="61" fillId="0" borderId="15" xfId="390" applyNumberFormat="1" applyFont="1" applyFill="1" applyBorder="1" applyAlignment="1">
      <alignment horizontal="right"/>
    </xf>
    <xf numFmtId="0" fontId="94" fillId="0" borderId="15" xfId="0" applyFont="1" applyFill="1" applyBorder="1" applyAlignment="1">
      <alignment/>
    </xf>
    <xf numFmtId="0" fontId="0" fillId="0" borderId="15" xfId="0" applyFont="1" applyBorder="1" applyAlignment="1">
      <alignment/>
    </xf>
    <xf numFmtId="0" fontId="0" fillId="0" borderId="15" xfId="0" applyBorder="1" applyAlignment="1">
      <alignment/>
    </xf>
    <xf numFmtId="169" fontId="0" fillId="61" borderId="0" xfId="390" applyFont="1" applyFill="1" applyAlignment="1">
      <alignment/>
    </xf>
    <xf numFmtId="169" fontId="0" fillId="0" borderId="0" xfId="390" applyFont="1" applyAlignment="1">
      <alignment/>
    </xf>
    <xf numFmtId="0" fontId="0" fillId="0" borderId="0" xfId="0" applyFont="1" applyFill="1" applyBorder="1" applyAlignment="1">
      <alignment/>
    </xf>
    <xf numFmtId="203" fontId="0" fillId="0" borderId="0" xfId="0" applyNumberFormat="1" applyFont="1" applyAlignment="1">
      <alignment/>
    </xf>
    <xf numFmtId="0" fontId="123" fillId="0" borderId="0" xfId="0" applyFont="1" applyAlignment="1">
      <alignment/>
    </xf>
    <xf numFmtId="211" fontId="0" fillId="61" borderId="0" xfId="390" applyNumberFormat="1" applyFont="1" applyFill="1" applyAlignment="1">
      <alignment/>
    </xf>
    <xf numFmtId="3" fontId="0" fillId="0" borderId="0" xfId="390" applyNumberFormat="1" applyFont="1" applyAlignment="1">
      <alignment/>
    </xf>
    <xf numFmtId="0" fontId="94" fillId="0" borderId="64" xfId="0" applyFont="1" applyBorder="1" applyAlignment="1">
      <alignment horizontal="center" vertical="top" wrapText="1"/>
    </xf>
    <xf numFmtId="0" fontId="94" fillId="0" borderId="45" xfId="0" applyFont="1" applyBorder="1" applyAlignment="1">
      <alignment horizontal="center" vertical="top" wrapText="1"/>
    </xf>
    <xf numFmtId="0" fontId="94" fillId="0" borderId="45" xfId="0" applyFont="1" applyBorder="1" applyAlignment="1">
      <alignment vertical="top" wrapText="1"/>
    </xf>
    <xf numFmtId="0" fontId="94" fillId="0" borderId="46" xfId="0" applyFont="1" applyBorder="1" applyAlignment="1">
      <alignment vertical="top" wrapText="1"/>
    </xf>
    <xf numFmtId="0" fontId="94" fillId="0" borderId="0" xfId="0" applyFont="1" applyAlignment="1">
      <alignment horizontal="center"/>
    </xf>
    <xf numFmtId="0" fontId="94" fillId="0" borderId="0" xfId="0" applyFont="1" applyAlignment="1">
      <alignment/>
    </xf>
    <xf numFmtId="0" fontId="243" fillId="69" borderId="43" xfId="0" applyFont="1" applyFill="1" applyBorder="1" applyAlignment="1">
      <alignment horizontal="center" wrapText="1"/>
    </xf>
    <xf numFmtId="0" fontId="243" fillId="69" borderId="44" xfId="0" applyFont="1" applyFill="1" applyBorder="1" applyAlignment="1">
      <alignment horizontal="center" wrapText="1"/>
    </xf>
    <xf numFmtId="0" fontId="243" fillId="69" borderId="45" xfId="0" applyFont="1" applyFill="1" applyBorder="1" applyAlignment="1">
      <alignment horizontal="center" wrapText="1"/>
    </xf>
    <xf numFmtId="0" fontId="244" fillId="69" borderId="46" xfId="0" applyFont="1" applyFill="1" applyBorder="1" applyAlignment="1">
      <alignment horizontal="center" wrapText="1"/>
    </xf>
    <xf numFmtId="0" fontId="88" fillId="0" borderId="0" xfId="0" applyFont="1" applyAlignment="1">
      <alignment horizontal="center"/>
    </xf>
    <xf numFmtId="0" fontId="245" fillId="69" borderId="65" xfId="0" applyFont="1" applyFill="1" applyBorder="1" applyAlignment="1">
      <alignment horizontal="center" wrapText="1"/>
    </xf>
    <xf numFmtId="0" fontId="245" fillId="69" borderId="66" xfId="0" applyFont="1" applyFill="1" applyBorder="1" applyAlignment="1">
      <alignment horizontal="center" wrapText="1"/>
    </xf>
    <xf numFmtId="0" fontId="245" fillId="69" borderId="67" xfId="0" applyFont="1" applyFill="1" applyBorder="1" applyAlignment="1">
      <alignment horizontal="center" wrapText="1"/>
    </xf>
    <xf numFmtId="0" fontId="244" fillId="69" borderId="66" xfId="0" applyFont="1" applyFill="1" applyBorder="1" applyAlignment="1">
      <alignment wrapText="1"/>
    </xf>
    <xf numFmtId="0" fontId="59" fillId="0" borderId="19" xfId="0" applyFont="1" applyFill="1" applyBorder="1" applyAlignment="1">
      <alignment/>
    </xf>
    <xf numFmtId="0" fontId="59" fillId="0" borderId="35" xfId="0" applyFont="1" applyFill="1" applyBorder="1" applyAlignment="1">
      <alignment horizontal="center" wrapText="1"/>
    </xf>
    <xf numFmtId="0" fontId="59" fillId="63" borderId="35" xfId="0" applyFont="1" applyFill="1" applyBorder="1" applyAlignment="1">
      <alignment horizontal="center"/>
    </xf>
    <xf numFmtId="170" fontId="59" fillId="0" borderId="35" xfId="390" applyNumberFormat="1" applyFont="1" applyFill="1" applyBorder="1" applyAlignment="1">
      <alignment/>
    </xf>
    <xf numFmtId="0" fontId="59" fillId="0" borderId="35" xfId="0" applyFont="1" applyFill="1" applyBorder="1" applyAlignment="1">
      <alignment horizontal="center"/>
    </xf>
    <xf numFmtId="0" fontId="59" fillId="63" borderId="34" xfId="601" applyFont="1" applyFill="1" applyBorder="1" applyAlignment="1">
      <alignment horizontal="left" vertical="center" wrapText="1"/>
      <protection/>
    </xf>
    <xf numFmtId="170" fontId="59" fillId="63" borderId="34" xfId="390" applyNumberFormat="1" applyFont="1" applyFill="1" applyBorder="1" applyAlignment="1">
      <alignment/>
    </xf>
    <xf numFmtId="0" fontId="60" fillId="63" borderId="7" xfId="0" applyFont="1" applyFill="1" applyBorder="1" applyAlignment="1">
      <alignment horizontal="center"/>
    </xf>
    <xf numFmtId="0" fontId="59" fillId="0" borderId="40" xfId="0" applyFont="1" applyFill="1" applyBorder="1" applyAlignment="1">
      <alignment horizontal="center" vertical="center"/>
    </xf>
    <xf numFmtId="170" fontId="59" fillId="0" borderId="19" xfId="390" applyNumberFormat="1" applyFont="1" applyFill="1" applyBorder="1" applyAlignment="1">
      <alignment/>
    </xf>
    <xf numFmtId="170" fontId="70" fillId="63" borderId="34" xfId="601" applyNumberFormat="1" applyFont="1" applyFill="1" applyBorder="1" applyAlignment="1">
      <alignment horizontal="right" vertical="center" wrapText="1"/>
      <protection/>
    </xf>
    <xf numFmtId="0" fontId="59" fillId="0" borderId="40" xfId="0" applyFont="1" applyFill="1" applyBorder="1" applyAlignment="1">
      <alignment horizontal="center" vertical="center" wrapText="1"/>
    </xf>
    <xf numFmtId="0" fontId="71" fillId="63" borderId="50" xfId="601" applyFont="1" applyFill="1" applyBorder="1" applyAlignment="1">
      <alignment horizontal="center" vertical="center" wrapText="1"/>
      <protection/>
    </xf>
    <xf numFmtId="0" fontId="71" fillId="63" borderId="34" xfId="601" applyFont="1" applyFill="1" applyBorder="1" applyAlignment="1">
      <alignment vertical="center" wrapText="1"/>
      <protection/>
    </xf>
    <xf numFmtId="0" fontId="71" fillId="63" borderId="34" xfId="601" applyFont="1" applyFill="1" applyBorder="1" applyAlignment="1">
      <alignment horizontal="center" vertical="center" wrapText="1"/>
      <protection/>
    </xf>
    <xf numFmtId="205" fontId="242" fillId="63" borderId="0" xfId="601" applyNumberFormat="1" applyFont="1" applyFill="1" applyAlignment="1">
      <alignment horizontal="right" vertical="center" wrapText="1"/>
      <protection/>
    </xf>
    <xf numFmtId="0" fontId="83" fillId="63" borderId="0" xfId="601" applyFont="1" applyFill="1" applyAlignment="1">
      <alignment horizontal="right" vertical="center" wrapText="1"/>
      <protection/>
    </xf>
    <xf numFmtId="0" fontId="83" fillId="63" borderId="0" xfId="601" applyFont="1" applyFill="1" applyAlignment="1">
      <alignment vertical="center" wrapText="1"/>
      <protection/>
    </xf>
    <xf numFmtId="170" fontId="70" fillId="63" borderId="0" xfId="601" applyNumberFormat="1" applyFont="1" applyFill="1" applyAlignment="1">
      <alignment vertical="center" wrapText="1"/>
      <protection/>
    </xf>
    <xf numFmtId="0" fontId="70" fillId="63" borderId="0" xfId="601" applyFont="1" applyFill="1" applyAlignment="1">
      <alignment vertical="center" wrapText="1"/>
      <protection/>
    </xf>
    <xf numFmtId="0" fontId="71" fillId="63" borderId="34" xfId="601" applyFont="1" applyFill="1" applyBorder="1" applyAlignment="1">
      <alignment horizontal="left" vertical="center" wrapText="1"/>
      <protection/>
    </xf>
    <xf numFmtId="0" fontId="37" fillId="63" borderId="34" xfId="0" applyFont="1" applyFill="1" applyBorder="1" applyAlignment="1">
      <alignment horizontal="center" vertical="center"/>
    </xf>
    <xf numFmtId="0" fontId="71" fillId="63" borderId="54" xfId="601" applyFont="1" applyFill="1" applyBorder="1" applyAlignment="1">
      <alignment horizontal="center" vertical="center" wrapText="1"/>
      <protection/>
    </xf>
    <xf numFmtId="0" fontId="71" fillId="63" borderId="35" xfId="601" applyFont="1" applyFill="1" applyBorder="1" applyAlignment="1">
      <alignment horizontal="left" vertical="center" wrapText="1"/>
      <protection/>
    </xf>
    <xf numFmtId="0" fontId="71" fillId="63" borderId="35" xfId="601" applyFont="1" applyFill="1" applyBorder="1" applyAlignment="1">
      <alignment vertical="center" wrapText="1"/>
      <protection/>
    </xf>
    <xf numFmtId="0" fontId="71" fillId="63" borderId="35" xfId="601" applyFont="1" applyFill="1" applyBorder="1" applyAlignment="1">
      <alignment horizontal="center" vertical="center" wrapText="1"/>
      <protection/>
    </xf>
    <xf numFmtId="170" fontId="71" fillId="63" borderId="35" xfId="601" applyNumberFormat="1" applyFont="1" applyFill="1" applyBorder="1" applyAlignment="1">
      <alignment horizontal="right" vertical="center" wrapText="1"/>
      <protection/>
    </xf>
    <xf numFmtId="170" fontId="71" fillId="63" borderId="68" xfId="390" applyNumberFormat="1" applyFont="1" applyFill="1" applyBorder="1" applyAlignment="1">
      <alignment horizontal="right" vertical="center" wrapText="1"/>
    </xf>
    <xf numFmtId="4" fontId="71" fillId="0" borderId="34" xfId="0" applyNumberFormat="1" applyFont="1" applyFill="1" applyBorder="1" applyAlignment="1">
      <alignment horizontal="center" vertical="center"/>
    </xf>
    <xf numFmtId="0" fontId="71" fillId="0" borderId="34" xfId="0" applyFont="1" applyFill="1" applyBorder="1" applyAlignment="1">
      <alignment horizontal="center" vertical="center"/>
    </xf>
    <xf numFmtId="4" fontId="71" fillId="0" borderId="35" xfId="0" applyNumberFormat="1" applyFont="1" applyFill="1" applyBorder="1" applyAlignment="1">
      <alignment horizontal="center" vertical="center"/>
    </xf>
    <xf numFmtId="0" fontId="71" fillId="63" borderId="35" xfId="0" applyFont="1" applyFill="1" applyBorder="1" applyAlignment="1">
      <alignment horizontal="center" vertical="center"/>
    </xf>
    <xf numFmtId="170" fontId="83" fillId="64" borderId="0" xfId="390" applyNumberFormat="1" applyFont="1" applyFill="1" applyBorder="1" applyAlignment="1">
      <alignment horizontal="center" vertical="center" wrapText="1"/>
    </xf>
    <xf numFmtId="0" fontId="70" fillId="0" borderId="19" xfId="601" applyFont="1" applyFill="1" applyBorder="1" applyAlignment="1">
      <alignment horizontal="left" vertical="center" wrapText="1"/>
      <protection/>
    </xf>
    <xf numFmtId="0" fontId="70" fillId="0" borderId="34" xfId="601" applyFont="1" applyFill="1" applyBorder="1" applyAlignment="1">
      <alignment horizontal="left" vertical="center" wrapText="1"/>
      <protection/>
    </xf>
    <xf numFmtId="0" fontId="72" fillId="0" borderId="34" xfId="0" applyFont="1" applyFill="1" applyBorder="1" applyAlignment="1">
      <alignment horizontal="center" vertical="center" wrapText="1"/>
    </xf>
    <xf numFmtId="0" fontId="71" fillId="0" borderId="19" xfId="601" applyFont="1" applyFill="1" applyBorder="1" applyAlignment="1" quotePrefix="1">
      <alignment horizontal="left" vertical="center" wrapText="1"/>
      <protection/>
    </xf>
    <xf numFmtId="0" fontId="74" fillId="0" borderId="15" xfId="0" applyFont="1" applyFill="1" applyBorder="1" applyAlignment="1">
      <alignment horizontal="center" vertical="center" wrapText="1"/>
    </xf>
    <xf numFmtId="0" fontId="71" fillId="0" borderId="34" xfId="601" applyFont="1" applyFill="1" applyBorder="1" applyAlignment="1" quotePrefix="1">
      <alignment horizontal="left" vertical="center" wrapText="1"/>
      <protection/>
    </xf>
    <xf numFmtId="0" fontId="71" fillId="0" borderId="19" xfId="0" applyFont="1" applyFill="1" applyBorder="1" applyAlignment="1">
      <alignment horizontal="center" vertical="center" wrapText="1"/>
    </xf>
    <xf numFmtId="0" fontId="70" fillId="63" borderId="48" xfId="601" applyFont="1" applyFill="1" applyBorder="1" applyAlignment="1">
      <alignment horizontal="center" vertical="center" wrapText="1"/>
      <protection/>
    </xf>
    <xf numFmtId="0" fontId="70" fillId="63" borderId="15" xfId="601" applyFont="1" applyFill="1" applyBorder="1" applyAlignment="1">
      <alignment horizontal="left" vertical="center" wrapText="1"/>
      <protection/>
    </xf>
    <xf numFmtId="0" fontId="70" fillId="63" borderId="15" xfId="601" applyFont="1" applyFill="1" applyBorder="1" applyAlignment="1">
      <alignment horizontal="center" vertical="center" wrapText="1"/>
      <protection/>
    </xf>
    <xf numFmtId="0" fontId="71" fillId="0" borderId="15" xfId="0" applyFont="1" applyFill="1" applyBorder="1" applyAlignment="1">
      <alignment horizontal="center" vertical="center" wrapText="1"/>
    </xf>
    <xf numFmtId="170" fontId="83" fillId="64" borderId="15" xfId="601" applyNumberFormat="1" applyFont="1" applyFill="1" applyBorder="1" applyAlignment="1">
      <alignment horizontal="right" vertical="center" wrapText="1"/>
      <protection/>
    </xf>
    <xf numFmtId="170" fontId="70" fillId="63" borderId="15" xfId="601" applyNumberFormat="1" applyFont="1" applyFill="1" applyBorder="1" applyAlignment="1">
      <alignment horizontal="right" vertical="center" wrapText="1"/>
      <protection/>
    </xf>
    <xf numFmtId="170" fontId="70" fillId="63" borderId="49" xfId="601" applyNumberFormat="1" applyFont="1" applyFill="1" applyBorder="1" applyAlignment="1">
      <alignment horizontal="right" vertical="center" wrapText="1"/>
      <protection/>
    </xf>
    <xf numFmtId="170" fontId="84" fillId="63" borderId="19" xfId="390" applyNumberFormat="1" applyFont="1" applyFill="1" applyBorder="1" applyAlignment="1">
      <alignment horizontal="center" vertical="center" wrapText="1"/>
    </xf>
    <xf numFmtId="170" fontId="126" fillId="63" borderId="19" xfId="601" applyNumberFormat="1" applyFont="1" applyFill="1" applyBorder="1" applyAlignment="1">
      <alignment horizontal="right" vertical="center" wrapText="1"/>
      <protection/>
    </xf>
    <xf numFmtId="170" fontId="71" fillId="63" borderId="53" xfId="601" applyNumberFormat="1" applyFont="1" applyFill="1" applyBorder="1" applyAlignment="1">
      <alignment horizontal="right" vertical="center" wrapText="1"/>
      <protection/>
    </xf>
    <xf numFmtId="170" fontId="84" fillId="63" borderId="34" xfId="390" applyNumberFormat="1" applyFont="1" applyFill="1" applyBorder="1" applyAlignment="1">
      <alignment horizontal="center" vertical="center" wrapText="1"/>
    </xf>
    <xf numFmtId="170" fontId="126" fillId="63" borderId="34" xfId="601" applyNumberFormat="1" applyFont="1" applyFill="1" applyBorder="1" applyAlignment="1">
      <alignment horizontal="right" vertical="center" wrapText="1"/>
      <protection/>
    </xf>
    <xf numFmtId="170" fontId="71" fillId="63" borderId="51" xfId="601" applyNumberFormat="1" applyFont="1" applyFill="1" applyBorder="1" applyAlignment="1">
      <alignment horizontal="right" vertical="center" wrapText="1"/>
      <protection/>
    </xf>
    <xf numFmtId="0" fontId="70" fillId="11" borderId="69" xfId="601" applyFont="1" applyFill="1" applyBorder="1" applyAlignment="1">
      <alignment horizontal="center" vertical="center" wrapText="1"/>
      <protection/>
    </xf>
    <xf numFmtId="0" fontId="70" fillId="11" borderId="70" xfId="601" applyFont="1" applyFill="1" applyBorder="1" applyAlignment="1">
      <alignment horizontal="center" vertical="center" wrapText="1"/>
      <protection/>
    </xf>
    <xf numFmtId="0" fontId="70" fillId="11" borderId="71" xfId="601" applyFont="1" applyFill="1" applyBorder="1" applyAlignment="1">
      <alignment horizontal="center" vertical="center" wrapText="1"/>
      <protection/>
    </xf>
    <xf numFmtId="170" fontId="84" fillId="0" borderId="0" xfId="601" applyNumberFormat="1" applyFont="1" applyFill="1" applyAlignment="1">
      <alignment horizontal="right" vertical="center" wrapText="1"/>
      <protection/>
    </xf>
    <xf numFmtId="0" fontId="37" fillId="63" borderId="0" xfId="0" applyFont="1" applyFill="1" applyAlignment="1">
      <alignment/>
    </xf>
    <xf numFmtId="0" fontId="59" fillId="43" borderId="0" xfId="0" applyFont="1" applyFill="1" applyBorder="1" applyAlignment="1">
      <alignment/>
    </xf>
    <xf numFmtId="0" fontId="61" fillId="43" borderId="0" xfId="0" applyFont="1" applyFill="1" applyBorder="1" applyAlignment="1">
      <alignment/>
    </xf>
    <xf numFmtId="0" fontId="59" fillId="43" borderId="0" xfId="0" applyFont="1" applyFill="1" applyBorder="1" applyAlignment="1">
      <alignment/>
    </xf>
    <xf numFmtId="0" fontId="94" fillId="43" borderId="0" xfId="0" applyFont="1" applyFill="1" applyBorder="1" applyAlignment="1">
      <alignment/>
    </xf>
    <xf numFmtId="0" fontId="77" fillId="43" borderId="0" xfId="0" applyFont="1" applyFill="1" applyBorder="1" applyAlignment="1">
      <alignment/>
    </xf>
    <xf numFmtId="0" fontId="37" fillId="43" borderId="0" xfId="0" applyFont="1" applyFill="1" applyBorder="1" applyAlignment="1">
      <alignment/>
    </xf>
    <xf numFmtId="0" fontId="37" fillId="43" borderId="0" xfId="0" applyFont="1" applyFill="1" applyAlignment="1">
      <alignment horizontal="center"/>
    </xf>
    <xf numFmtId="0" fontId="73" fillId="43" borderId="0" xfId="0" applyFont="1" applyFill="1" applyAlignment="1">
      <alignment/>
    </xf>
    <xf numFmtId="0" fontId="61" fillId="43" borderId="70" xfId="0" applyFont="1" applyFill="1" applyBorder="1" applyAlignment="1">
      <alignment horizontal="center"/>
    </xf>
    <xf numFmtId="0" fontId="61" fillId="43" borderId="15" xfId="0" applyFont="1" applyFill="1" applyBorder="1" applyAlignment="1">
      <alignment horizontal="center"/>
    </xf>
    <xf numFmtId="49" fontId="127" fillId="26" borderId="15" xfId="0" applyNumberFormat="1" applyFont="1" applyFill="1" applyBorder="1" applyAlignment="1">
      <alignment horizontal="center" textRotation="90" wrapText="1"/>
    </xf>
    <xf numFmtId="49" fontId="127" fillId="53" borderId="15" xfId="0" applyNumberFormat="1" applyFont="1" applyFill="1" applyBorder="1" applyAlignment="1">
      <alignment horizontal="center" textRotation="90" wrapText="1"/>
    </xf>
    <xf numFmtId="49" fontId="127" fillId="70" borderId="15" xfId="0" applyNumberFormat="1" applyFont="1" applyFill="1" applyBorder="1" applyAlignment="1">
      <alignment horizontal="center" textRotation="90" wrapText="1"/>
    </xf>
    <xf numFmtId="0" fontId="59" fillId="0" borderId="48" xfId="0" applyFont="1" applyFill="1" applyBorder="1" applyAlignment="1">
      <alignment horizontal="center" vertical="center"/>
    </xf>
    <xf numFmtId="0" fontId="128" fillId="0" borderId="15" xfId="0" applyFont="1" applyFill="1" applyBorder="1" applyAlignment="1">
      <alignment horizontal="left" vertical="center" wrapText="1"/>
    </xf>
    <xf numFmtId="0" fontId="59" fillId="0" borderId="15" xfId="0" applyFont="1" applyFill="1" applyBorder="1" applyAlignment="1">
      <alignment horizontal="center" vertical="center" wrapText="1"/>
    </xf>
    <xf numFmtId="3" fontId="59" fillId="0" borderId="15" xfId="0" applyNumberFormat="1" applyFont="1" applyFill="1" applyBorder="1" applyAlignment="1">
      <alignment horizontal="right" vertical="center"/>
    </xf>
    <xf numFmtId="3" fontId="59" fillId="0" borderId="49" xfId="0" applyNumberFormat="1" applyFont="1" applyFill="1" applyBorder="1" applyAlignment="1">
      <alignment horizontal="right" vertical="center"/>
    </xf>
    <xf numFmtId="0" fontId="128" fillId="0" borderId="15" xfId="0" applyFont="1" applyFill="1" applyBorder="1" applyAlignment="1">
      <alignment wrapText="1"/>
    </xf>
    <xf numFmtId="0" fontId="77" fillId="0" borderId="15" xfId="0" applyFont="1" applyFill="1" applyBorder="1" applyAlignment="1">
      <alignment/>
    </xf>
    <xf numFmtId="3" fontId="59" fillId="0" borderId="15" xfId="0" applyNumberFormat="1" applyFont="1" applyFill="1" applyBorder="1" applyAlignment="1">
      <alignment horizontal="right"/>
    </xf>
    <xf numFmtId="3" fontId="59" fillId="0" borderId="49" xfId="0" applyNumberFormat="1" applyFont="1" applyFill="1" applyBorder="1" applyAlignment="1">
      <alignment horizontal="right"/>
    </xf>
    <xf numFmtId="0" fontId="77" fillId="0" borderId="15" xfId="0" applyFont="1" applyFill="1" applyBorder="1" applyAlignment="1">
      <alignment horizontal="left" wrapText="1"/>
    </xf>
    <xf numFmtId="0" fontId="59" fillId="0" borderId="15" xfId="0" applyFont="1" applyFill="1" applyBorder="1" applyAlignment="1">
      <alignment horizontal="center" wrapText="1"/>
    </xf>
    <xf numFmtId="0" fontId="128" fillId="0" borderId="15" xfId="0" applyFont="1" applyFill="1" applyBorder="1" applyAlignment="1">
      <alignment horizontal="center"/>
    </xf>
    <xf numFmtId="0" fontId="59" fillId="0" borderId="15" xfId="0" applyFont="1" applyFill="1" applyBorder="1" applyAlignment="1">
      <alignment horizontal="left" vertical="center" wrapText="1"/>
    </xf>
    <xf numFmtId="0" fontId="128" fillId="0" borderId="15" xfId="0" applyFont="1" applyFill="1" applyBorder="1" applyAlignment="1">
      <alignment vertical="center" wrapText="1"/>
    </xf>
    <xf numFmtId="0" fontId="128" fillId="0" borderId="15" xfId="0" applyFont="1" applyFill="1" applyBorder="1" applyAlignment="1">
      <alignment horizontal="center" vertical="center"/>
    </xf>
    <xf numFmtId="0" fontId="59" fillId="0" borderId="72" xfId="0" applyFont="1" applyFill="1" applyBorder="1" applyAlignment="1">
      <alignment horizontal="left"/>
    </xf>
    <xf numFmtId="0" fontId="61" fillId="0" borderId="73" xfId="0" applyFont="1" applyFill="1" applyBorder="1" applyAlignment="1">
      <alignment horizontal="center" vertical="center"/>
    </xf>
    <xf numFmtId="0" fontId="59" fillId="0" borderId="73" xfId="0" applyFont="1" applyFill="1" applyBorder="1" applyAlignment="1">
      <alignment horizontal="left" wrapText="1"/>
    </xf>
    <xf numFmtId="0" fontId="59" fillId="0" borderId="73" xfId="0" applyFont="1" applyFill="1" applyBorder="1" applyAlignment="1">
      <alignment horizontal="center"/>
    </xf>
    <xf numFmtId="0" fontId="59" fillId="17" borderId="73" xfId="0" applyFont="1" applyFill="1" applyBorder="1" applyAlignment="1">
      <alignment horizontal="center"/>
    </xf>
    <xf numFmtId="0" fontId="59" fillId="52" borderId="73" xfId="0" applyFont="1" applyFill="1" applyBorder="1" applyAlignment="1">
      <alignment horizontal="center"/>
    </xf>
    <xf numFmtId="0" fontId="59" fillId="19" borderId="73" xfId="0" applyFont="1" applyFill="1" applyBorder="1" applyAlignment="1">
      <alignment horizontal="center"/>
    </xf>
    <xf numFmtId="3" fontId="61" fillId="0" borderId="73" xfId="0" applyNumberFormat="1" applyFont="1" applyFill="1" applyBorder="1" applyAlignment="1">
      <alignment horizontal="center"/>
    </xf>
    <xf numFmtId="3" fontId="61" fillId="0" borderId="58" xfId="0" applyNumberFormat="1" applyFont="1" applyFill="1" applyBorder="1" applyAlignment="1">
      <alignment horizontal="right"/>
    </xf>
    <xf numFmtId="0" fontId="77" fillId="0" borderId="0" xfId="601" applyFont="1" applyFill="1" applyBorder="1" applyAlignment="1">
      <alignment horizontal="center" vertical="center" wrapText="1"/>
      <protection/>
    </xf>
    <xf numFmtId="170" fontId="61" fillId="0" borderId="0" xfId="381" applyNumberFormat="1" applyFont="1" applyFill="1" applyBorder="1" applyAlignment="1">
      <alignment/>
    </xf>
    <xf numFmtId="0" fontId="1" fillId="0" borderId="0" xfId="0" applyFont="1" applyAlignment="1">
      <alignment horizontal="center" vertical="center" wrapText="1"/>
    </xf>
    <xf numFmtId="0" fontId="5" fillId="0" borderId="0" xfId="0" applyFont="1" applyAlignment="1">
      <alignment horizontal="center" vertical="center" wrapText="1"/>
    </xf>
    <xf numFmtId="0" fontId="5" fillId="0" borderId="74"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vertical="center" wrapText="1"/>
    </xf>
    <xf numFmtId="0" fontId="62" fillId="0" borderId="42" xfId="0" applyFont="1" applyBorder="1" applyAlignment="1">
      <alignment horizontal="center" vertical="center" wrapText="1"/>
    </xf>
    <xf numFmtId="0" fontId="59" fillId="0" borderId="42" xfId="0" applyFont="1" applyBorder="1" applyAlignment="1">
      <alignment horizontal="center" vertical="center" wrapText="1"/>
    </xf>
    <xf numFmtId="3" fontId="59" fillId="0" borderId="42" xfId="0" applyNumberFormat="1" applyFont="1" applyBorder="1" applyAlignment="1">
      <alignment horizontal="center" vertical="center" wrapText="1"/>
    </xf>
    <xf numFmtId="0" fontId="91" fillId="0" borderId="0" xfId="601" applyFont="1" applyFill="1" applyAlignment="1">
      <alignment horizontal="center" wrapText="1"/>
      <protection/>
    </xf>
    <xf numFmtId="0" fontId="69" fillId="0" borderId="0" xfId="601" applyFont="1" applyFill="1" applyBorder="1" applyAlignment="1">
      <alignment horizontal="right" vertical="top" wrapText="1"/>
      <protection/>
    </xf>
    <xf numFmtId="0" fontId="61" fillId="0" borderId="0" xfId="601" applyFont="1" applyFill="1" applyBorder="1" applyAlignment="1">
      <alignment horizontal="center" vertical="center" wrapText="1"/>
      <protection/>
    </xf>
    <xf numFmtId="0" fontId="74" fillId="0" borderId="30" xfId="601" applyFont="1" applyFill="1" applyBorder="1" applyAlignment="1">
      <alignment horizontal="left" vertical="center" wrapText="1"/>
      <protection/>
    </xf>
    <xf numFmtId="0" fontId="68" fillId="0" borderId="0" xfId="601" applyFont="1" applyFill="1" applyAlignment="1">
      <alignment horizontal="center" vertical="center" wrapText="1"/>
      <protection/>
    </xf>
    <xf numFmtId="0" fontId="70" fillId="0" borderId="0" xfId="601" applyFont="1" applyFill="1" applyBorder="1" applyAlignment="1">
      <alignment horizontal="center" vertical="center" wrapText="1"/>
      <protection/>
    </xf>
    <xf numFmtId="0" fontId="94" fillId="0" borderId="0" xfId="601" applyFont="1" applyFill="1" applyAlignment="1">
      <alignment horizontal="center" vertical="center" wrapText="1"/>
      <protection/>
    </xf>
    <xf numFmtId="0" fontId="72" fillId="0" borderId="0" xfId="601" applyFont="1" applyFill="1" applyBorder="1" applyAlignment="1">
      <alignment horizontal="center" wrapText="1"/>
      <protection/>
    </xf>
    <xf numFmtId="0" fontId="90" fillId="0" borderId="0" xfId="601" applyFont="1" applyFill="1" applyBorder="1" applyAlignment="1">
      <alignment horizontal="center" vertical="center" wrapText="1"/>
      <protection/>
    </xf>
    <xf numFmtId="0" fontId="61" fillId="43" borderId="70" xfId="0" applyFont="1" applyFill="1" applyBorder="1" applyAlignment="1">
      <alignment horizontal="center"/>
    </xf>
    <xf numFmtId="0" fontId="97" fillId="43" borderId="0" xfId="0" applyFont="1" applyFill="1" applyBorder="1" applyAlignment="1">
      <alignment horizontal="center"/>
    </xf>
    <xf numFmtId="0" fontId="61" fillId="0" borderId="70" xfId="0" applyFont="1" applyFill="1" applyBorder="1" applyAlignment="1">
      <alignment horizontal="center"/>
    </xf>
    <xf numFmtId="0" fontId="61" fillId="43" borderId="70" xfId="0" applyFont="1" applyFill="1" applyBorder="1" applyAlignment="1">
      <alignment horizontal="center" vertical="center" wrapText="1"/>
    </xf>
    <xf numFmtId="0" fontId="61" fillId="43" borderId="15" xfId="0" applyFont="1" applyFill="1" applyBorder="1" applyAlignment="1">
      <alignment horizontal="center" vertical="center" wrapText="1"/>
    </xf>
    <xf numFmtId="0" fontId="61" fillId="43" borderId="71" xfId="0" applyFont="1" applyFill="1" applyBorder="1" applyAlignment="1">
      <alignment horizontal="center" vertical="center" wrapText="1"/>
    </xf>
    <xf numFmtId="0" fontId="61" fillId="43" borderId="49" xfId="0" applyFont="1" applyFill="1" applyBorder="1" applyAlignment="1">
      <alignment horizontal="center" vertical="center" wrapText="1"/>
    </xf>
    <xf numFmtId="0" fontId="91" fillId="0" borderId="0" xfId="0" applyFont="1" applyFill="1" applyBorder="1" applyAlignment="1">
      <alignment horizontal="center"/>
    </xf>
    <xf numFmtId="0" fontId="68" fillId="43" borderId="0" xfId="0" applyFont="1" applyFill="1" applyBorder="1" applyAlignment="1">
      <alignment horizontal="left"/>
    </xf>
    <xf numFmtId="0" fontId="61" fillId="43" borderId="69" xfId="0" applyFont="1" applyFill="1" applyBorder="1" applyAlignment="1">
      <alignment horizontal="center" vertical="center" wrapText="1"/>
    </xf>
    <xf numFmtId="0" fontId="59" fillId="0" borderId="48" xfId="0" applyFont="1" applyBorder="1" applyAlignment="1">
      <alignment horizontal="center" vertical="center" wrapText="1"/>
    </xf>
    <xf numFmtId="0" fontId="59" fillId="0" borderId="15" xfId="0" applyFont="1" applyBorder="1" applyAlignment="1">
      <alignment horizontal="center" vertical="center" wrapText="1"/>
    </xf>
    <xf numFmtId="0" fontId="59" fillId="43" borderId="70" xfId="0" applyFont="1" applyFill="1" applyBorder="1" applyAlignment="1">
      <alignment horizontal="center"/>
    </xf>
    <xf numFmtId="0" fontId="67" fillId="0" borderId="28" xfId="612" applyFont="1" applyFill="1" applyBorder="1" applyAlignment="1" applyProtection="1">
      <alignment horizontal="center" vertical="center"/>
      <protection/>
    </xf>
    <xf numFmtId="0" fontId="67" fillId="0" borderId="10" xfId="612" applyFont="1" applyFill="1" applyBorder="1" applyAlignment="1" applyProtection="1">
      <alignment horizontal="center" vertical="center"/>
      <protection/>
    </xf>
    <xf numFmtId="0" fontId="67" fillId="0" borderId="61" xfId="612" applyFont="1" applyFill="1" applyBorder="1" applyAlignment="1" applyProtection="1">
      <alignment horizontal="center" vertical="center"/>
      <protection/>
    </xf>
    <xf numFmtId="0" fontId="68" fillId="0" borderId="28" xfId="612" applyFont="1" applyFill="1" applyBorder="1" applyAlignment="1" applyProtection="1">
      <alignment horizontal="center" vertical="center"/>
      <protection/>
    </xf>
    <xf numFmtId="0" fontId="68" fillId="0" borderId="10" xfId="612" applyFont="1" applyFill="1" applyBorder="1" applyAlignment="1" applyProtection="1">
      <alignment horizontal="center" vertical="center"/>
      <protection/>
    </xf>
    <xf numFmtId="0" fontId="68" fillId="0" borderId="61" xfId="612" applyFont="1" applyFill="1" applyBorder="1" applyAlignment="1" applyProtection="1">
      <alignment horizontal="center" vertical="center"/>
      <protection/>
    </xf>
    <xf numFmtId="0" fontId="101" fillId="0" borderId="0" xfId="609" applyFont="1" applyFill="1" applyAlignment="1" applyProtection="1">
      <alignment horizontal="center" vertical="center"/>
      <protection/>
    </xf>
    <xf numFmtId="0" fontId="102" fillId="0" borderId="0" xfId="611" applyFont="1" applyFill="1" applyAlignment="1" applyProtection="1">
      <alignment horizontal="center" vertical="center"/>
      <protection/>
    </xf>
    <xf numFmtId="0" fontId="59" fillId="0" borderId="37" xfId="612" applyFont="1" applyFill="1" applyBorder="1" applyAlignment="1" applyProtection="1">
      <alignment horizontal="center" vertical="center"/>
      <protection/>
    </xf>
    <xf numFmtId="0" fontId="59" fillId="0" borderId="75" xfId="612" applyFont="1" applyFill="1" applyBorder="1" applyAlignment="1" applyProtection="1">
      <alignment horizontal="center" vertical="center"/>
      <protection/>
    </xf>
    <xf numFmtId="0" fontId="54" fillId="0" borderId="33" xfId="612" applyFont="1" applyFill="1" applyBorder="1" applyAlignment="1" applyProtection="1">
      <alignment horizontal="center" vertical="center" wrapText="1"/>
      <protection/>
    </xf>
    <xf numFmtId="0" fontId="54" fillId="0" borderId="7" xfId="612" applyFont="1" applyFill="1" applyBorder="1" applyAlignment="1" applyProtection="1">
      <alignment horizontal="center" vertical="center" wrapText="1"/>
      <protection/>
    </xf>
    <xf numFmtId="0" fontId="54" fillId="0" borderId="5" xfId="612" applyFont="1" applyFill="1" applyBorder="1" applyAlignment="1" applyProtection="1">
      <alignment horizontal="center" vertical="center" wrapText="1"/>
      <protection/>
    </xf>
    <xf numFmtId="0" fontId="105" fillId="0" borderId="0" xfId="612" applyFont="1" applyFill="1" applyAlignment="1" applyProtection="1" quotePrefix="1">
      <alignment horizontal="justify" vertical="center"/>
      <protection/>
    </xf>
    <xf numFmtId="0" fontId="93" fillId="0" borderId="28" xfId="612" applyFont="1" applyFill="1" applyBorder="1" applyAlignment="1" applyProtection="1">
      <alignment horizontal="center" vertical="center"/>
      <protection/>
    </xf>
    <xf numFmtId="0" fontId="93" fillId="0" borderId="61" xfId="612" applyFont="1" applyFill="1" applyBorder="1" applyAlignment="1" applyProtection="1">
      <alignment horizontal="center" vertical="center"/>
      <protection/>
    </xf>
    <xf numFmtId="0" fontId="103" fillId="0" borderId="33" xfId="612" applyFont="1" applyFill="1" applyBorder="1" applyAlignment="1" applyProtection="1">
      <alignment horizontal="center" vertical="center"/>
      <protection/>
    </xf>
    <xf numFmtId="0" fontId="103" fillId="0" borderId="7" xfId="612" applyFont="1" applyFill="1" applyBorder="1" applyAlignment="1" applyProtection="1">
      <alignment horizontal="center" vertical="center"/>
      <protection/>
    </xf>
    <xf numFmtId="0" fontId="103" fillId="0" borderId="5" xfId="612" applyFont="1" applyFill="1" applyBorder="1" applyAlignment="1" applyProtection="1">
      <alignment horizontal="center" vertical="center"/>
      <protection/>
    </xf>
    <xf numFmtId="3" fontId="105" fillId="0" borderId="28" xfId="612" applyNumberFormat="1" applyFont="1" applyFill="1" applyBorder="1" applyAlignment="1" applyProtection="1">
      <alignment horizontal="right" vertical="center"/>
      <protection/>
    </xf>
    <xf numFmtId="3" fontId="105" fillId="0" borderId="61" xfId="612" applyNumberFormat="1" applyFont="1" applyFill="1" applyBorder="1" applyAlignment="1" applyProtection="1">
      <alignment horizontal="right" vertical="center"/>
      <protection/>
    </xf>
    <xf numFmtId="3" fontId="108" fillId="0" borderId="28" xfId="612" applyNumberFormat="1" applyFont="1" applyFill="1" applyBorder="1" applyAlignment="1" applyProtection="1">
      <alignment horizontal="right" vertical="center"/>
      <protection/>
    </xf>
    <xf numFmtId="3" fontId="108" fillId="0" borderId="61" xfId="612" applyNumberFormat="1" applyFont="1" applyFill="1" applyBorder="1" applyAlignment="1" applyProtection="1">
      <alignment horizontal="right" vertical="center"/>
      <protection/>
    </xf>
    <xf numFmtId="207" fontId="105" fillId="0" borderId="0" xfId="612" applyNumberFormat="1" applyFont="1" applyFill="1" applyAlignment="1" applyProtection="1">
      <alignment horizontal="right" vertical="center"/>
      <protection/>
    </xf>
    <xf numFmtId="207" fontId="93" fillId="0" borderId="0" xfId="612" applyNumberFormat="1" applyFont="1" applyFill="1" applyAlignment="1" applyProtection="1">
      <alignment horizontal="left" vertical="center"/>
      <protection/>
    </xf>
    <xf numFmtId="3" fontId="93" fillId="0" borderId="28" xfId="612" applyNumberFormat="1" applyFont="1" applyFill="1" applyBorder="1" applyAlignment="1" applyProtection="1">
      <alignment horizontal="right" vertical="center"/>
      <protection/>
    </xf>
    <xf numFmtId="3" fontId="93" fillId="0" borderId="61" xfId="612" applyNumberFormat="1" applyFont="1" applyFill="1" applyBorder="1" applyAlignment="1" applyProtection="1">
      <alignment horizontal="right" vertical="center"/>
      <protection/>
    </xf>
    <xf numFmtId="0" fontId="105" fillId="0" borderId="0" xfId="612" applyFont="1" applyFill="1" applyAlignment="1" applyProtection="1">
      <alignment horizontal="justify" vertical="center" wrapText="1"/>
      <protection/>
    </xf>
    <xf numFmtId="0" fontId="93" fillId="0" borderId="33" xfId="612" applyFont="1" applyFill="1" applyBorder="1" applyAlignment="1" applyProtection="1">
      <alignment horizontal="center" vertical="center"/>
      <protection/>
    </xf>
    <xf numFmtId="0" fontId="93" fillId="0" borderId="5" xfId="612" applyFont="1" applyFill="1" applyBorder="1" applyAlignment="1" applyProtection="1">
      <alignment horizontal="center" vertical="center"/>
      <protection/>
    </xf>
    <xf numFmtId="207" fontId="110" fillId="0" borderId="0" xfId="612" applyNumberFormat="1" applyFont="1" applyFill="1" applyAlignment="1" applyProtection="1">
      <alignment horizontal="right" vertical="center"/>
      <protection/>
    </xf>
    <xf numFmtId="0" fontId="105" fillId="0" borderId="0" xfId="612" applyFont="1" applyFill="1" applyAlignment="1" applyProtection="1">
      <alignment horizontal="right" vertical="center"/>
      <protection/>
    </xf>
    <xf numFmtId="0" fontId="93" fillId="0" borderId="0" xfId="612" applyFont="1" applyFill="1" applyAlignment="1" applyProtection="1">
      <alignment horizontal="center" vertical="center"/>
      <protection/>
    </xf>
    <xf numFmtId="0" fontId="93" fillId="0" borderId="10" xfId="612" applyFont="1" applyFill="1" applyBorder="1" applyAlignment="1" applyProtection="1">
      <alignment horizontal="center" vertical="center"/>
      <protection/>
    </xf>
    <xf numFmtId="0" fontId="61" fillId="0" borderId="0" xfId="0" applyFont="1" applyFill="1" applyBorder="1" applyAlignment="1">
      <alignment horizontal="center" vertical="justify"/>
    </xf>
    <xf numFmtId="0" fontId="63" fillId="0" borderId="0" xfId="0" applyFont="1" applyAlignment="1">
      <alignment horizontal="center"/>
    </xf>
    <xf numFmtId="0" fontId="119" fillId="0" borderId="0" xfId="0" applyFont="1" applyAlignment="1">
      <alignment horizontal="center"/>
    </xf>
    <xf numFmtId="0" fontId="97" fillId="0" borderId="15" xfId="0" applyFont="1" applyBorder="1" applyAlignment="1">
      <alignment horizontal="center" wrapText="1"/>
    </xf>
    <xf numFmtId="0" fontId="246" fillId="0" borderId="0" xfId="0" applyFont="1" applyAlignment="1">
      <alignment horizontal="right"/>
    </xf>
    <xf numFmtId="0" fontId="247" fillId="0" borderId="0" xfId="0" applyFont="1" applyAlignment="1">
      <alignment horizontal="center"/>
    </xf>
    <xf numFmtId="0" fontId="248" fillId="65" borderId="0" xfId="0" applyFont="1" applyFill="1" applyAlignment="1">
      <alignment horizontal="left" vertical="center"/>
    </xf>
    <xf numFmtId="0" fontId="239" fillId="0" borderId="0" xfId="0" applyFont="1" applyAlignment="1">
      <alignment horizontal="left"/>
    </xf>
    <xf numFmtId="0" fontId="239" fillId="0" borderId="0" xfId="0" applyFont="1" applyAlignment="1">
      <alignment horizontal="right"/>
    </xf>
    <xf numFmtId="2" fontId="249" fillId="0" borderId="0" xfId="0" applyNumberFormat="1" applyFont="1" applyAlignment="1">
      <alignment horizontal="right"/>
    </xf>
    <xf numFmtId="0" fontId="239" fillId="0" borderId="0" xfId="0" applyFont="1" applyAlignment="1">
      <alignment horizontal="right"/>
    </xf>
    <xf numFmtId="0" fontId="239" fillId="0" borderId="15" xfId="0" applyFont="1" applyBorder="1" applyAlignment="1">
      <alignment horizontal="center" vertical="center"/>
    </xf>
    <xf numFmtId="0" fontId="239" fillId="0" borderId="15" xfId="0" applyFont="1" applyBorder="1" applyAlignment="1">
      <alignment horizontal="center" vertical="center" wrapText="1"/>
    </xf>
    <xf numFmtId="0" fontId="239" fillId="0" borderId="0" xfId="0" applyFont="1" applyAlignment="1">
      <alignment horizontal="center"/>
    </xf>
    <xf numFmtId="0" fontId="239" fillId="0" borderId="0" xfId="0" applyFont="1" applyAlignment="1">
      <alignment horizontal="left" vertical="top" wrapText="1"/>
    </xf>
    <xf numFmtId="0" fontId="239" fillId="0" borderId="28" xfId="0" applyFont="1" applyBorder="1" applyAlignment="1">
      <alignment horizontal="center" vertical="center" wrapText="1"/>
    </xf>
    <xf numFmtId="0" fontId="239" fillId="0" borderId="10" xfId="0" applyFont="1" applyBorder="1" applyAlignment="1">
      <alignment horizontal="center" vertical="center" wrapText="1"/>
    </xf>
    <xf numFmtId="0" fontId="67" fillId="0" borderId="0" xfId="0" applyFont="1" applyAlignment="1">
      <alignment horizontal="center" vertical="center"/>
    </xf>
    <xf numFmtId="0" fontId="59" fillId="0" borderId="15" xfId="0" applyFont="1" applyBorder="1" applyAlignment="1">
      <alignment horizontal="left" indent="1"/>
    </xf>
    <xf numFmtId="0" fontId="59" fillId="0" borderId="15" xfId="0" applyFont="1" applyBorder="1" applyAlignment="1">
      <alignment horizontal="center"/>
    </xf>
    <xf numFmtId="0" fontId="59" fillId="0" borderId="28" xfId="0" applyFont="1" applyBorder="1" applyAlignment="1">
      <alignment horizontal="left" wrapText="1" indent="1"/>
    </xf>
    <xf numFmtId="0" fontId="59" fillId="0" borderId="10" xfId="0" applyFont="1" applyBorder="1" applyAlignment="1">
      <alignment horizontal="left" wrapText="1" indent="1"/>
    </xf>
    <xf numFmtId="0" fontId="59" fillId="0" borderId="61" xfId="0" applyFont="1" applyBorder="1" applyAlignment="1">
      <alignment horizontal="left" wrapText="1" indent="1"/>
    </xf>
    <xf numFmtId="0" fontId="59" fillId="0" borderId="28" xfId="0" applyFont="1" applyBorder="1" applyAlignment="1">
      <alignment horizontal="left" vertical="top" indent="1"/>
    </xf>
    <xf numFmtId="0" fontId="59" fillId="0" borderId="10" xfId="0" applyFont="1" applyBorder="1" applyAlignment="1">
      <alignment horizontal="left" vertical="top" indent="1"/>
    </xf>
    <xf numFmtId="0" fontId="59" fillId="0" borderId="61" xfId="0" applyFont="1" applyBorder="1" applyAlignment="1">
      <alignment horizontal="left" vertical="top" indent="1"/>
    </xf>
    <xf numFmtId="0" fontId="59" fillId="0" borderId="28" xfId="0" applyFont="1" applyBorder="1" applyAlignment="1">
      <alignment horizontal="left" indent="1"/>
    </xf>
    <xf numFmtId="0" fontId="59" fillId="0" borderId="10" xfId="0" applyFont="1" applyBorder="1" applyAlignment="1">
      <alignment horizontal="left" indent="1"/>
    </xf>
    <xf numFmtId="0" fontId="59" fillId="0" borderId="61" xfId="0" applyFont="1" applyBorder="1" applyAlignment="1">
      <alignment horizontal="left" indent="1"/>
    </xf>
    <xf numFmtId="0" fontId="61" fillId="0" borderId="74" xfId="0" applyFont="1" applyFill="1" applyBorder="1" applyAlignment="1">
      <alignment horizontal="center" vertical="justify"/>
    </xf>
    <xf numFmtId="3" fontId="94" fillId="0" borderId="64" xfId="0" applyNumberFormat="1" applyFont="1" applyBorder="1" applyAlignment="1">
      <alignment horizontal="center" vertical="top" wrapText="1"/>
    </xf>
    <xf numFmtId="3" fontId="94" fillId="0" borderId="45" xfId="0" applyNumberFormat="1" applyFont="1" applyBorder="1" applyAlignment="1">
      <alignment horizontal="center" vertical="top" wrapText="1"/>
    </xf>
    <xf numFmtId="0" fontId="94" fillId="0" borderId="64" xfId="0" applyFont="1" applyBorder="1" applyAlignment="1">
      <alignment horizontal="center" vertical="top" wrapText="1"/>
    </xf>
    <xf numFmtId="0" fontId="94" fillId="0" borderId="45" xfId="0" applyFont="1" applyBorder="1" applyAlignment="1">
      <alignment horizontal="center" vertical="top" wrapText="1"/>
    </xf>
    <xf numFmtId="0" fontId="243" fillId="0" borderId="18" xfId="0" applyFont="1" applyBorder="1" applyAlignment="1">
      <alignment horizontal="center" wrapText="1"/>
    </xf>
    <xf numFmtId="0" fontId="94" fillId="0" borderId="0" xfId="0" applyFont="1" applyAlignment="1">
      <alignment horizontal="center" wrapText="1"/>
    </xf>
    <xf numFmtId="0" fontId="94" fillId="0" borderId="0" xfId="0" applyFont="1" applyBorder="1" applyAlignment="1">
      <alignment horizontal="center"/>
    </xf>
    <xf numFmtId="0" fontId="125" fillId="0" borderId="64" xfId="0" applyFont="1" applyBorder="1" applyAlignment="1">
      <alignment horizontal="center" vertical="top" wrapText="1"/>
    </xf>
    <xf numFmtId="0" fontId="125" fillId="0" borderId="45" xfId="0" applyFont="1" applyBorder="1" applyAlignment="1">
      <alignment horizontal="center" vertical="top" wrapText="1"/>
    </xf>
  </cellXfs>
  <cellStyles count="880">
    <cellStyle name="Normal" xfId="0"/>
    <cellStyle name="_x0001_" xfId="15"/>
    <cellStyle name="          &#13;&#10;shell=progman.exe&#13;&#10;m" xfId="16"/>
    <cellStyle name="          &#13;&#10;shell=progman.exe&#13;&#10;m 2" xfId="17"/>
    <cellStyle name="          &#13;&#10;shell=progman.exe&#13;&#10;m 2 2" xfId="18"/>
    <cellStyle name="          &#13;&#10;shell=progman.exe&#13;&#10;m 2 3" xfId="19"/>
    <cellStyle name="          &#13;&#10;shell=progman.exe&#13;&#10;m 3" xfId="20"/>
    <cellStyle name="          &#13;&#10;shell=progman.exe&#13;&#10;m 4" xfId="21"/>
    <cellStyle name="          &#13;&#10;shell=progman.exe&#13;&#10;m_DUTOAN" xfId="22"/>
    <cellStyle name="??" xfId="23"/>
    <cellStyle name="?? [0.00]_ Att. 1- Cover" xfId="24"/>
    <cellStyle name="?? [0]" xfId="25"/>
    <cellStyle name="?? [0] 2" xfId="26"/>
    <cellStyle name="?? [0] 3" xfId="27"/>
    <cellStyle name="?? 2" xfId="28"/>
    <cellStyle name="?? 2 2" xfId="29"/>
    <cellStyle name="?? 2 3" xfId="30"/>
    <cellStyle name="?? 3" xfId="31"/>
    <cellStyle name="?? 3 2" xfId="32"/>
    <cellStyle name="?? 3 3" xfId="33"/>
    <cellStyle name="?? 4" xfId="34"/>
    <cellStyle name="?? 5" xfId="35"/>
    <cellStyle name="?? 6" xfId="36"/>
    <cellStyle name="?_x001D_??%U©÷u&amp;H©÷9_x0008_? s&#10;_x0007__x0001__x0001_" xfId="37"/>
    <cellStyle name="???? [0.00]_List-dwg" xfId="38"/>
    <cellStyle name="????_List-dwg" xfId="39"/>
    <cellStyle name="???[0]_?? DI" xfId="40"/>
    <cellStyle name="???_?? DI" xfId="41"/>
    <cellStyle name="??[0]_BRE" xfId="42"/>
    <cellStyle name="??_ ??? ???? " xfId="43"/>
    <cellStyle name="??A? [0]_laroux_1_¢¬???¢â? " xfId="44"/>
    <cellStyle name="??A?_laroux_1_¢¬???¢â? " xfId="45"/>
    <cellStyle name="?¡±¢¥?_?¨ù??¢´¢¥_¢¬???¢â? " xfId="46"/>
    <cellStyle name="?ðÇ%U?&amp;H?_x0008_?s&#10;_x0007__x0001__x0001_" xfId="47"/>
    <cellStyle name="[0]_Chi phÝ kh¸c_V" xfId="48"/>
    <cellStyle name="_1. Coc BTCT" xfId="49"/>
    <cellStyle name="_3. He thong cap thoat nuoc" xfId="50"/>
    <cellStyle name="_ALL" xfId="51"/>
    <cellStyle name="_Bang Chi tieu (2)" xfId="52"/>
    <cellStyle name="_be tu hoai" xfId="53"/>
    <cellStyle name="_BEN 3_080227-KiemTra" xfId="54"/>
    <cellStyle name="_Book1" xfId="55"/>
    <cellStyle name="_Book1_1" xfId="56"/>
    <cellStyle name="_Coc khoan nhoi" xfId="57"/>
    <cellStyle name="_He thong dien khung keo" xfId="58"/>
    <cellStyle name="_HT giao thong duong A" xfId="59"/>
    <cellStyle name="_kd" xfId="60"/>
    <cellStyle name="_KLc" xfId="61"/>
    <cellStyle name="_klccc1" xfId="62"/>
    <cellStyle name="_KLcn+d" xfId="63"/>
    <cellStyle name="_KLR" xfId="64"/>
    <cellStyle name="_KT (2)" xfId="65"/>
    <cellStyle name="_KT (2)_1" xfId="66"/>
    <cellStyle name="_KT (2)_2" xfId="67"/>
    <cellStyle name="_KT (2)_2_TG-TH" xfId="68"/>
    <cellStyle name="_KT (2)_2_TG-TH_1. Ket cau va kien truc khu nha hoc" xfId="69"/>
    <cellStyle name="_KT (2)_2_TG-TH_3.Tuong rao" xfId="70"/>
    <cellStyle name="_KT (2)_2_TG-TH_5. HT dien" xfId="71"/>
    <cellStyle name="_KT (2)_2_TG-TH_BEN 3_080227-KiemTra" xfId="72"/>
    <cellStyle name="_KT (2)_2_TG-TH_Book1" xfId="73"/>
    <cellStyle name="_KT (2)_2_TG-TH_Book1_1" xfId="74"/>
    <cellStyle name="_KT (2)_2_TG-TH_Book1_2" xfId="75"/>
    <cellStyle name="_KT (2)_2_TG-TH_chi phi khac" xfId="76"/>
    <cellStyle name="_KT (2)_2_TG-TH_chi phi khac moi" xfId="77"/>
    <cellStyle name="_KT (2)_2_TG-TH_He thong thoat thai duong C1" xfId="78"/>
    <cellStyle name="_KT (2)_2_TG-TH_He thong thoat thai duong C7" xfId="79"/>
    <cellStyle name="_KT (2)_2_TG-TH_KhaiToan_SuaChuaNen+ChoTam 3-9-08." xfId="80"/>
    <cellStyle name="_KT (2)_2_TG-TH_Mong" xfId="81"/>
    <cellStyle name="_KT (2)_2_TG-TH_Tong du toan AQ" xfId="82"/>
    <cellStyle name="_KT (2)_2_TG-TH_Tong du toan N.T.Hien" xfId="83"/>
    <cellStyle name="_KT (2)_2_TG-TH_Tong du toan palace" xfId="84"/>
    <cellStyle name="_KT (2)_2_TG-TH_Tong hop du toan TT3" xfId="85"/>
    <cellStyle name="_KT (2)_2_TG-TH_tong hop nen BTCT" xfId="86"/>
    <cellStyle name="_KT (2)_3" xfId="87"/>
    <cellStyle name="_KT (2)_3_TG-TH" xfId="88"/>
    <cellStyle name="_KT (2)_3_TG-TH_ALL" xfId="89"/>
    <cellStyle name="_KT (2)_3_TG-TH_BEN 3_080227-KiemTra" xfId="90"/>
    <cellStyle name="_KT (2)_3_TG-TH_Book1" xfId="91"/>
    <cellStyle name="_KT (2)_3_TG-TH_kd" xfId="92"/>
    <cellStyle name="_KT (2)_3_TG-TH_KLc" xfId="93"/>
    <cellStyle name="_KT (2)_3_TG-TH_klccc1" xfId="94"/>
    <cellStyle name="_KT (2)_3_TG-TH_KLcn+d" xfId="95"/>
    <cellStyle name="_KT (2)_3_TG-TH_KLR" xfId="96"/>
    <cellStyle name="_KT (2)_3_TG-TH_KTOAN" xfId="97"/>
    <cellStyle name="_KT (2)_3_TG-TH_KTOAN1" xfId="98"/>
    <cellStyle name="_KT (2)_3_TG-TH_PERSONAL" xfId="99"/>
    <cellStyle name="_KT (2)_3_TG-TH_PERSONAL_Book1" xfId="100"/>
    <cellStyle name="_KT (2)_3_TG-TH_PERSONAL_Tong hop KHCB 2001" xfId="101"/>
    <cellStyle name="_KT (2)_3_TG-TH_THKP CAU" xfId="102"/>
    <cellStyle name="_KT (2)_3_TG-TH_THKPCAU(c)" xfId="103"/>
    <cellStyle name="_KT (2)_4" xfId="104"/>
    <cellStyle name="_KT (2)_4_1. Ket cau va kien truc khu nha hoc" xfId="105"/>
    <cellStyle name="_KT (2)_4_3.Tuong rao" xfId="106"/>
    <cellStyle name="_KT (2)_4_5. HT dien" xfId="107"/>
    <cellStyle name="_KT (2)_4_BEN 3_080227-KiemTra" xfId="108"/>
    <cellStyle name="_KT (2)_4_Book1" xfId="109"/>
    <cellStyle name="_KT (2)_4_Book1_1" xfId="110"/>
    <cellStyle name="_KT (2)_4_Book1_2" xfId="111"/>
    <cellStyle name="_KT (2)_4_chi phi khac" xfId="112"/>
    <cellStyle name="_KT (2)_4_chi phi khac moi" xfId="113"/>
    <cellStyle name="_KT (2)_4_He thong thoat thai duong C1" xfId="114"/>
    <cellStyle name="_KT (2)_4_He thong thoat thai duong C7" xfId="115"/>
    <cellStyle name="_KT (2)_4_KhaiToan_SuaChuaNen+ChoTam 3-9-08." xfId="116"/>
    <cellStyle name="_KT (2)_4_Mong" xfId="117"/>
    <cellStyle name="_KT (2)_4_TG-TH" xfId="118"/>
    <cellStyle name="_KT (2)_4_Tong du toan AQ" xfId="119"/>
    <cellStyle name="_KT (2)_4_Tong du toan N.T.Hien" xfId="120"/>
    <cellStyle name="_KT (2)_4_Tong du toan palace" xfId="121"/>
    <cellStyle name="_KT (2)_4_Tong hop du toan TT3" xfId="122"/>
    <cellStyle name="_KT (2)_4_tong hop nen BTCT" xfId="123"/>
    <cellStyle name="_KT (2)_5" xfId="124"/>
    <cellStyle name="_KT (2)_5_1. Ket cau va kien truc khu nha hoc" xfId="125"/>
    <cellStyle name="_KT (2)_5_3.Tuong rao" xfId="126"/>
    <cellStyle name="_KT (2)_5_5. HT dien" xfId="127"/>
    <cellStyle name="_KT (2)_5_ALL" xfId="128"/>
    <cellStyle name="_KT (2)_5_BEN 3_080227-KiemTra" xfId="129"/>
    <cellStyle name="_KT (2)_5_Book1" xfId="130"/>
    <cellStyle name="_KT (2)_5_Book1_1" xfId="131"/>
    <cellStyle name="_KT (2)_5_Book1_2" xfId="132"/>
    <cellStyle name="_KT (2)_5_Book1_BEN 3_080227-KiemTra" xfId="133"/>
    <cellStyle name="_KT (2)_5_chi phi khac" xfId="134"/>
    <cellStyle name="_KT (2)_5_chi phi khac moi" xfId="135"/>
    <cellStyle name="_KT (2)_5_He thong thoat thai duong C1" xfId="136"/>
    <cellStyle name="_KT (2)_5_He thong thoat thai duong C7" xfId="137"/>
    <cellStyle name="_KT (2)_5_kd" xfId="138"/>
    <cellStyle name="_KT (2)_5_KLc" xfId="139"/>
    <cellStyle name="_KT (2)_5_klccc1" xfId="140"/>
    <cellStyle name="_KT (2)_5_KLcn+d" xfId="141"/>
    <cellStyle name="_KT (2)_5_KLR" xfId="142"/>
    <cellStyle name="_KT (2)_5_KTOAN" xfId="143"/>
    <cellStyle name="_KT (2)_5_KTOAN1" xfId="144"/>
    <cellStyle name="_KT (2)_5_KhaiToan_SuaChuaNen+ChoTam 3-9-08." xfId="145"/>
    <cellStyle name="_KT (2)_5_Mong" xfId="146"/>
    <cellStyle name="_KT (2)_5_Tong du toan AQ" xfId="147"/>
    <cellStyle name="_KT (2)_5_Tong du toan N.T.Hien" xfId="148"/>
    <cellStyle name="_KT (2)_5_Tong du toan palace" xfId="149"/>
    <cellStyle name="_KT (2)_5_Tong hop du toan TT3" xfId="150"/>
    <cellStyle name="_KT (2)_5_tong hop nen BTCT" xfId="151"/>
    <cellStyle name="_KT (2)_5_THKP CAU" xfId="152"/>
    <cellStyle name="_KT (2)_5_THKPCAU(c)" xfId="153"/>
    <cellStyle name="_KT (2)_ALL" xfId="154"/>
    <cellStyle name="_KT (2)_BEN 3_080227-KiemTra" xfId="155"/>
    <cellStyle name="_KT (2)_Book1" xfId="156"/>
    <cellStyle name="_KT (2)_kd" xfId="157"/>
    <cellStyle name="_KT (2)_KLc" xfId="158"/>
    <cellStyle name="_KT (2)_klccc1" xfId="159"/>
    <cellStyle name="_KT (2)_KLcn+d" xfId="160"/>
    <cellStyle name="_KT (2)_KLR" xfId="161"/>
    <cellStyle name="_KT (2)_KTOAN" xfId="162"/>
    <cellStyle name="_KT (2)_KTOAN1" xfId="163"/>
    <cellStyle name="_KT (2)_PERSONAL" xfId="164"/>
    <cellStyle name="_KT (2)_PERSONAL_Book1" xfId="165"/>
    <cellStyle name="_KT (2)_PERSONAL_Tong hop KHCB 2001" xfId="166"/>
    <cellStyle name="_KT (2)_TG-TH" xfId="167"/>
    <cellStyle name="_KT (2)_THKP CAU" xfId="168"/>
    <cellStyle name="_KT (2)_THKPCAU(c)" xfId="169"/>
    <cellStyle name="_KT_TG" xfId="170"/>
    <cellStyle name="_KT_TG_1" xfId="171"/>
    <cellStyle name="_KT_TG_1_1. Ket cau va kien truc khu nha hoc" xfId="172"/>
    <cellStyle name="_KT_TG_1_3.Tuong rao" xfId="173"/>
    <cellStyle name="_KT_TG_1_5. HT dien" xfId="174"/>
    <cellStyle name="_KT_TG_1_ALL" xfId="175"/>
    <cellStyle name="_KT_TG_1_BEN 3_080227-KiemTra" xfId="176"/>
    <cellStyle name="_KT_TG_1_Book1" xfId="177"/>
    <cellStyle name="_KT_TG_1_Book1_1" xfId="178"/>
    <cellStyle name="_KT_TG_1_Book1_2" xfId="179"/>
    <cellStyle name="_KT_TG_1_Book1_BEN 3_080227-KiemTra" xfId="180"/>
    <cellStyle name="_KT_TG_1_chi phi khac" xfId="181"/>
    <cellStyle name="_KT_TG_1_chi phi khac moi" xfId="182"/>
    <cellStyle name="_KT_TG_1_He thong thoat thai duong C1" xfId="183"/>
    <cellStyle name="_KT_TG_1_He thong thoat thai duong C7" xfId="184"/>
    <cellStyle name="_KT_TG_1_kd" xfId="185"/>
    <cellStyle name="_KT_TG_1_KLc" xfId="186"/>
    <cellStyle name="_KT_TG_1_klccc1" xfId="187"/>
    <cellStyle name="_KT_TG_1_KLcn+d" xfId="188"/>
    <cellStyle name="_KT_TG_1_KLR" xfId="189"/>
    <cellStyle name="_KT_TG_1_KTOAN" xfId="190"/>
    <cellStyle name="_KT_TG_1_KTOAN1" xfId="191"/>
    <cellStyle name="_KT_TG_1_KhaiToan_SuaChuaNen+ChoTam 3-9-08." xfId="192"/>
    <cellStyle name="_KT_TG_1_Mong" xfId="193"/>
    <cellStyle name="_KT_TG_1_Tong du toan AQ" xfId="194"/>
    <cellStyle name="_KT_TG_1_Tong du toan N.T.Hien" xfId="195"/>
    <cellStyle name="_KT_TG_1_Tong du toan palace" xfId="196"/>
    <cellStyle name="_KT_TG_1_Tong hop du toan TT3" xfId="197"/>
    <cellStyle name="_KT_TG_1_tong hop nen BTCT" xfId="198"/>
    <cellStyle name="_KT_TG_1_THKP CAU" xfId="199"/>
    <cellStyle name="_KT_TG_1_THKPCAU(c)" xfId="200"/>
    <cellStyle name="_KT_TG_2" xfId="201"/>
    <cellStyle name="_KT_TG_2_1. Ket cau va kien truc khu nha hoc" xfId="202"/>
    <cellStyle name="_KT_TG_2_3.Tuong rao" xfId="203"/>
    <cellStyle name="_KT_TG_2_5. HT dien" xfId="204"/>
    <cellStyle name="_KT_TG_2_BEN 3_080227-KiemTra" xfId="205"/>
    <cellStyle name="_KT_TG_2_Book1" xfId="206"/>
    <cellStyle name="_KT_TG_2_Book1_1" xfId="207"/>
    <cellStyle name="_KT_TG_2_Book1_2" xfId="208"/>
    <cellStyle name="_KT_TG_2_chi phi khac" xfId="209"/>
    <cellStyle name="_KT_TG_2_chi phi khac moi" xfId="210"/>
    <cellStyle name="_KT_TG_2_He thong thoat thai duong C1" xfId="211"/>
    <cellStyle name="_KT_TG_2_He thong thoat thai duong C7" xfId="212"/>
    <cellStyle name="_KT_TG_2_KhaiToan_SuaChuaNen+ChoTam 3-9-08." xfId="213"/>
    <cellStyle name="_KT_TG_2_Mong" xfId="214"/>
    <cellStyle name="_KT_TG_2_Tong du toan AQ" xfId="215"/>
    <cellStyle name="_KT_TG_2_Tong du toan N.T.Hien" xfId="216"/>
    <cellStyle name="_KT_TG_2_Tong du toan palace" xfId="217"/>
    <cellStyle name="_KT_TG_2_Tong hop du toan TT3" xfId="218"/>
    <cellStyle name="_KT_TG_2_tong hop nen BTCT" xfId="219"/>
    <cellStyle name="_KT_TG_3" xfId="220"/>
    <cellStyle name="_KT_TG_4" xfId="221"/>
    <cellStyle name="_KTOAN" xfId="222"/>
    <cellStyle name="_KTOAN1" xfId="223"/>
    <cellStyle name="_PERSONAL" xfId="224"/>
    <cellStyle name="_PERSONAL_Book1" xfId="225"/>
    <cellStyle name="_PERSONAL_Tong hop KHCB 2001" xfId="226"/>
    <cellStyle name="_TG-TH" xfId="227"/>
    <cellStyle name="_TG-TH_1" xfId="228"/>
    <cellStyle name="_TG-TH_1_1. Ket cau va kien truc khu nha hoc" xfId="229"/>
    <cellStyle name="_TG-TH_1_3.Tuong rao" xfId="230"/>
    <cellStyle name="_TG-TH_1_5. HT dien" xfId="231"/>
    <cellStyle name="_TG-TH_1_ALL" xfId="232"/>
    <cellStyle name="_TG-TH_1_BEN 3_080227-KiemTra" xfId="233"/>
    <cellStyle name="_TG-TH_1_Book1" xfId="234"/>
    <cellStyle name="_TG-TH_1_Book1_1" xfId="235"/>
    <cellStyle name="_TG-TH_1_Book1_2" xfId="236"/>
    <cellStyle name="_TG-TH_1_Book1_BEN 3_080227-KiemTra" xfId="237"/>
    <cellStyle name="_TG-TH_1_chi phi khac" xfId="238"/>
    <cellStyle name="_TG-TH_1_chi phi khac moi" xfId="239"/>
    <cellStyle name="_TG-TH_1_He thong thoat thai duong C1" xfId="240"/>
    <cellStyle name="_TG-TH_1_He thong thoat thai duong C7" xfId="241"/>
    <cellStyle name="_TG-TH_1_kd" xfId="242"/>
    <cellStyle name="_TG-TH_1_KLc" xfId="243"/>
    <cellStyle name="_TG-TH_1_klccc1" xfId="244"/>
    <cellStyle name="_TG-TH_1_KLcn+d" xfId="245"/>
    <cellStyle name="_TG-TH_1_KLR" xfId="246"/>
    <cellStyle name="_TG-TH_1_KTOAN" xfId="247"/>
    <cellStyle name="_TG-TH_1_KTOAN1" xfId="248"/>
    <cellStyle name="_TG-TH_1_KhaiToan_SuaChuaNen+ChoTam 3-9-08." xfId="249"/>
    <cellStyle name="_TG-TH_1_Mong" xfId="250"/>
    <cellStyle name="_TG-TH_1_Tong du toan AQ" xfId="251"/>
    <cellStyle name="_TG-TH_1_Tong du toan N.T.Hien" xfId="252"/>
    <cellStyle name="_TG-TH_1_Tong du toan palace" xfId="253"/>
    <cellStyle name="_TG-TH_1_Tong hop du toan TT3" xfId="254"/>
    <cellStyle name="_TG-TH_1_tong hop nen BTCT" xfId="255"/>
    <cellStyle name="_TG-TH_1_THKP CAU" xfId="256"/>
    <cellStyle name="_TG-TH_1_THKPCAU(c)" xfId="257"/>
    <cellStyle name="_TG-TH_2" xfId="258"/>
    <cellStyle name="_TG-TH_2_1. Ket cau va kien truc khu nha hoc" xfId="259"/>
    <cellStyle name="_TG-TH_2_3.Tuong rao" xfId="260"/>
    <cellStyle name="_TG-TH_2_5. HT dien" xfId="261"/>
    <cellStyle name="_TG-TH_2_BEN 3_080227-KiemTra" xfId="262"/>
    <cellStyle name="_TG-TH_2_Book1" xfId="263"/>
    <cellStyle name="_TG-TH_2_Book1_1" xfId="264"/>
    <cellStyle name="_TG-TH_2_Book1_2" xfId="265"/>
    <cellStyle name="_TG-TH_2_chi phi khac" xfId="266"/>
    <cellStyle name="_TG-TH_2_chi phi khac moi" xfId="267"/>
    <cellStyle name="_TG-TH_2_He thong thoat thai duong C1" xfId="268"/>
    <cellStyle name="_TG-TH_2_He thong thoat thai duong C7" xfId="269"/>
    <cellStyle name="_TG-TH_2_KhaiToan_SuaChuaNen+ChoTam 3-9-08." xfId="270"/>
    <cellStyle name="_TG-TH_2_Mong" xfId="271"/>
    <cellStyle name="_TG-TH_2_Tong du toan AQ" xfId="272"/>
    <cellStyle name="_TG-TH_2_Tong du toan N.T.Hien" xfId="273"/>
    <cellStyle name="_TG-TH_2_Tong du toan palace" xfId="274"/>
    <cellStyle name="_TG-TH_2_Tong hop du toan TT3" xfId="275"/>
    <cellStyle name="_TG-TH_2_tong hop nen BTCT" xfId="276"/>
    <cellStyle name="_TG-TH_3" xfId="277"/>
    <cellStyle name="_TG-TH_4" xfId="278"/>
    <cellStyle name="_Tong hop may cheu nganh 1" xfId="279"/>
    <cellStyle name="_THKP CAU" xfId="280"/>
    <cellStyle name="_THKPCAU(c)" xfId="281"/>
    <cellStyle name="~1" xfId="282"/>
    <cellStyle name="•W€_STDFOR" xfId="283"/>
    <cellStyle name="W_STDFOR" xfId="284"/>
    <cellStyle name="1" xfId="285"/>
    <cellStyle name="1 2" xfId="286"/>
    <cellStyle name="¹éºÐÀ²_±âÅ¸" xfId="287"/>
    <cellStyle name="2" xfId="288"/>
    <cellStyle name="20" xfId="289"/>
    <cellStyle name="20 2" xfId="290"/>
    <cellStyle name="20 2 2" xfId="291"/>
    <cellStyle name="20 2 3" xfId="292"/>
    <cellStyle name="20 3" xfId="293"/>
    <cellStyle name="20 4" xfId="294"/>
    <cellStyle name="20% - Accent1" xfId="295"/>
    <cellStyle name="20% - Accent1 2" xfId="296"/>
    <cellStyle name="20% - Accent2" xfId="297"/>
    <cellStyle name="20% - Accent2 2" xfId="298"/>
    <cellStyle name="20% - Accent3" xfId="299"/>
    <cellStyle name="20% - Accent3 2" xfId="300"/>
    <cellStyle name="20% - Accent4" xfId="301"/>
    <cellStyle name="20% - Accent4 2" xfId="302"/>
    <cellStyle name="20% - Accent5" xfId="303"/>
    <cellStyle name="20% - Accent5 2" xfId="304"/>
    <cellStyle name="20% - Accent6" xfId="305"/>
    <cellStyle name="20% - Accent6 2" xfId="306"/>
    <cellStyle name="3" xfId="307"/>
    <cellStyle name="4" xfId="308"/>
    <cellStyle name="40% - Accent1" xfId="309"/>
    <cellStyle name="40% - Accent1 2" xfId="310"/>
    <cellStyle name="40% - Accent2" xfId="311"/>
    <cellStyle name="40% - Accent2 2" xfId="312"/>
    <cellStyle name="40% - Accent3" xfId="313"/>
    <cellStyle name="40% - Accent3 2" xfId="314"/>
    <cellStyle name="40% - Accent4" xfId="315"/>
    <cellStyle name="40% - Accent4 2" xfId="316"/>
    <cellStyle name="40% - Accent5" xfId="317"/>
    <cellStyle name="40% - Accent5 2" xfId="318"/>
    <cellStyle name="40% - Accent6" xfId="319"/>
    <cellStyle name="40% - Accent6 2" xfId="320"/>
    <cellStyle name="6" xfId="321"/>
    <cellStyle name="6 2" xfId="322"/>
    <cellStyle name="6 2 2" xfId="323"/>
    <cellStyle name="6 2 3" xfId="324"/>
    <cellStyle name="60% - Accent1" xfId="325"/>
    <cellStyle name="60% - Accent1 2" xfId="326"/>
    <cellStyle name="60% - Accent2" xfId="327"/>
    <cellStyle name="60% - Accent2 2" xfId="328"/>
    <cellStyle name="60% - Accent3" xfId="329"/>
    <cellStyle name="60% - Accent3 2" xfId="330"/>
    <cellStyle name="60% - Accent4" xfId="331"/>
    <cellStyle name="60% - Accent4 2" xfId="332"/>
    <cellStyle name="60% - Accent5" xfId="333"/>
    <cellStyle name="60% - Accent5 2" xfId="334"/>
    <cellStyle name="60% - Accent6" xfId="335"/>
    <cellStyle name="60% - Accent6 2" xfId="336"/>
    <cellStyle name="Accent1" xfId="337"/>
    <cellStyle name="Accent1 2" xfId="338"/>
    <cellStyle name="Accent2" xfId="339"/>
    <cellStyle name="Accent2 2" xfId="340"/>
    <cellStyle name="Accent3" xfId="341"/>
    <cellStyle name="Accent3 2" xfId="342"/>
    <cellStyle name="Accent4" xfId="343"/>
    <cellStyle name="Accent4 2" xfId="344"/>
    <cellStyle name="Accent5" xfId="345"/>
    <cellStyle name="Accent5 2" xfId="346"/>
    <cellStyle name="Accent6" xfId="347"/>
    <cellStyle name="Accent6 2" xfId="348"/>
    <cellStyle name="ÅëÈ­ [0]_¿ì¹°Åë" xfId="349"/>
    <cellStyle name="AeE­ [0]_INQUIRY ¿?¾÷AßAø " xfId="350"/>
    <cellStyle name="ÅëÈ­ [0]_L601CPT" xfId="351"/>
    <cellStyle name="ÅëÈ­_¿ì¹°Åë" xfId="352"/>
    <cellStyle name="AeE­_INQUIRY ¿?¾÷AßAø " xfId="353"/>
    <cellStyle name="ÅëÈ­_L601CPT" xfId="354"/>
    <cellStyle name="ÄÞ¸¶ [0]_¿ì¹°Åë" xfId="355"/>
    <cellStyle name="AÞ¸¶ [0]_INQUIRY ¿?¾÷AßAø " xfId="356"/>
    <cellStyle name="ÄÞ¸¶ [0]_L601CPT" xfId="357"/>
    <cellStyle name="ÄÞ¸¶_¿ì¹°Åë" xfId="358"/>
    <cellStyle name="AÞ¸¶_INQUIRY ¿?¾÷AßAø " xfId="359"/>
    <cellStyle name="ÄÞ¸¶_L601CPT" xfId="360"/>
    <cellStyle name="AutoFormat Options" xfId="361"/>
    <cellStyle name="Bad" xfId="362"/>
    <cellStyle name="Bad 2" xfId="363"/>
    <cellStyle name="C?AØ_¿?¾÷CoE² " xfId="364"/>
    <cellStyle name="Ç¥ÁØ_#2(M17)_1" xfId="365"/>
    <cellStyle name="C￥AØ_¿μ¾÷CoE² " xfId="366"/>
    <cellStyle name="Ç¥ÁØ_±¸¹Ì´ëÃ¥" xfId="367"/>
    <cellStyle name="C￥AØ_Sheet1_¿μ¾÷CoE² " xfId="368"/>
    <cellStyle name="Calc Currency (0)" xfId="369"/>
    <cellStyle name="Calc Currency (2)" xfId="370"/>
    <cellStyle name="Calc Percent (0)" xfId="371"/>
    <cellStyle name="Calc Percent (1)" xfId="372"/>
    <cellStyle name="Calc Percent (2)" xfId="373"/>
    <cellStyle name="Calc Units (0)" xfId="374"/>
    <cellStyle name="Calc Units (1)" xfId="375"/>
    <cellStyle name="Calc Units (2)" xfId="376"/>
    <cellStyle name="Calculation" xfId="377"/>
    <cellStyle name="Calculation 2" xfId="378"/>
    <cellStyle name="category" xfId="379"/>
    <cellStyle name="Cerrency_Sheet2_XANGDAU" xfId="380"/>
    <cellStyle name="Comma" xfId="381"/>
    <cellStyle name="Comma [0]" xfId="382"/>
    <cellStyle name="Comma [00]" xfId="383"/>
    <cellStyle name="Comma 10" xfId="384"/>
    <cellStyle name="Comma 11" xfId="385"/>
    <cellStyle name="Comma 12" xfId="386"/>
    <cellStyle name="Comma 13" xfId="387"/>
    <cellStyle name="Comma 14" xfId="388"/>
    <cellStyle name="Comma 15" xfId="389"/>
    <cellStyle name="Comma 2" xfId="390"/>
    <cellStyle name="Comma 3" xfId="391"/>
    <cellStyle name="Comma 3 2" xfId="392"/>
    <cellStyle name="Comma 3 3" xfId="393"/>
    <cellStyle name="Comma 4" xfId="394"/>
    <cellStyle name="Comma 4 2" xfId="395"/>
    <cellStyle name="Comma 5" xfId="396"/>
    <cellStyle name="Comma 6" xfId="397"/>
    <cellStyle name="Comma 7" xfId="398"/>
    <cellStyle name="Comma 7 2" xfId="399"/>
    <cellStyle name="Comma 8" xfId="400"/>
    <cellStyle name="Comma 9" xfId="401"/>
    <cellStyle name="comma zerodec" xfId="402"/>
    <cellStyle name="comma zerodec 2" xfId="403"/>
    <cellStyle name="comma zerodec 2 2" xfId="404"/>
    <cellStyle name="comma zerodec 2 3" xfId="405"/>
    <cellStyle name="comma zerodec 3" xfId="406"/>
    <cellStyle name="Comma0" xfId="407"/>
    <cellStyle name="Comma0 2" xfId="408"/>
    <cellStyle name="Comma0 3" xfId="409"/>
    <cellStyle name="cong" xfId="410"/>
    <cellStyle name="Currency" xfId="411"/>
    <cellStyle name="Currency [0]" xfId="412"/>
    <cellStyle name="Currency [00]" xfId="413"/>
    <cellStyle name="Currency 2" xfId="414"/>
    <cellStyle name="Currency0" xfId="415"/>
    <cellStyle name="Currency0 2" xfId="416"/>
    <cellStyle name="Currency0 3" xfId="417"/>
    <cellStyle name="Currency1" xfId="418"/>
    <cellStyle name="Currency1 2" xfId="419"/>
    <cellStyle name="Currency1 2 2" xfId="420"/>
    <cellStyle name="Currency1 2 3" xfId="421"/>
    <cellStyle name="Currency1 3" xfId="422"/>
    <cellStyle name="Currency1 4" xfId="423"/>
    <cellStyle name="Check Cell" xfId="424"/>
    <cellStyle name="Check Cell 2" xfId="425"/>
    <cellStyle name="Chi phÝ kh¸c_Book1" xfId="426"/>
    <cellStyle name="CHUONG" xfId="427"/>
    <cellStyle name="D1" xfId="428"/>
    <cellStyle name="D1 2" xfId="429"/>
    <cellStyle name="D1 2 2" xfId="430"/>
    <cellStyle name="D1 2 3" xfId="431"/>
    <cellStyle name="D1 3" xfId="432"/>
    <cellStyle name="D1 4" xfId="433"/>
    <cellStyle name="D1_DUTOAN" xfId="434"/>
    <cellStyle name="Date" xfId="435"/>
    <cellStyle name="Date 2" xfId="436"/>
    <cellStyle name="Date 3" xfId="437"/>
    <cellStyle name="Date Short" xfId="438"/>
    <cellStyle name="DAUDE" xfId="439"/>
    <cellStyle name="Dezimal [0]_UXO VII" xfId="440"/>
    <cellStyle name="Dezimal_UXO VII" xfId="441"/>
    <cellStyle name="Dollar (zero dec)" xfId="442"/>
    <cellStyle name="Dollar (zero dec) 2" xfId="443"/>
    <cellStyle name="Dollar (zero dec) 2 2" xfId="444"/>
    <cellStyle name="Dollar (zero dec) 2 3" xfId="445"/>
    <cellStyle name="Dollar (zero dec) 3" xfId="446"/>
    <cellStyle name="Dollar (zero dec) 4" xfId="447"/>
    <cellStyle name="Dziesi?tny [0]_Invoices2001Slovakia" xfId="448"/>
    <cellStyle name="Dziesi?tny_Invoices2001Slovakia" xfId="449"/>
    <cellStyle name="Dziesietny [0]_Invoices2001Slovakia" xfId="450"/>
    <cellStyle name="Dziesiętny [0]_Invoices2001Slovakia" xfId="451"/>
    <cellStyle name="Dziesietny [0]_Invoices2001Slovakia_01_Nha so 1_Dien" xfId="452"/>
    <cellStyle name="Dziesiętny [0]_Invoices2001Slovakia_01_Nha so 1_Dien" xfId="453"/>
    <cellStyle name="Dziesietny [0]_Invoices2001Slovakia_10_Nha so 10_Dien1" xfId="454"/>
    <cellStyle name="Dziesiętny [0]_Invoices2001Slovakia_10_Nha so 10_Dien1" xfId="455"/>
    <cellStyle name="Dziesietny [0]_Invoices2001Slovakia_Book1" xfId="456"/>
    <cellStyle name="Dziesiętny [0]_Invoices2001Slovakia_Book1" xfId="457"/>
    <cellStyle name="Dziesietny [0]_Invoices2001Slovakia_Book1_1" xfId="458"/>
    <cellStyle name="Dziesiętny [0]_Invoices2001Slovakia_Book1_1" xfId="459"/>
    <cellStyle name="Dziesietny [0]_Invoices2001Slovakia_Book1_1_Book1" xfId="460"/>
    <cellStyle name="Dziesiętny [0]_Invoices2001Slovakia_Book1_1_Book1" xfId="461"/>
    <cellStyle name="Dziesietny [0]_Invoices2001Slovakia_Book1_2" xfId="462"/>
    <cellStyle name="Dziesiętny [0]_Invoices2001Slovakia_Book1_2" xfId="463"/>
    <cellStyle name="Dziesietny [0]_Invoices2001Slovakia_d-uong+TDT" xfId="464"/>
    <cellStyle name="Dziesiętny [0]_Invoices2001Slovakia_Nhµ ®Ó xe" xfId="465"/>
    <cellStyle name="Dziesietny [0]_Invoices2001Slovakia_Nha bao ve(28-7-05)" xfId="466"/>
    <cellStyle name="Dziesiętny [0]_Invoices2001Slovakia_Nha bao ve(28-7-05)" xfId="467"/>
    <cellStyle name="Dziesietny [0]_Invoices2001Slovakia_NHA de xe nguyen du" xfId="468"/>
    <cellStyle name="Dziesiętny [0]_Invoices2001Slovakia_NHA de xe nguyen du" xfId="469"/>
    <cellStyle name="Dziesietny [0]_Invoices2001Slovakia_Nhalamviec VTC(25-1-05)" xfId="470"/>
    <cellStyle name="Dziesiętny [0]_Invoices2001Slovakia_Nhalamviec VTC(25-1-05)" xfId="471"/>
    <cellStyle name="Dziesietny [0]_Invoices2001Slovakia_t.nuoc(12-10-06)" xfId="472"/>
    <cellStyle name="Dziesiętny [0]_Invoices2001Slovakia_TDT KHANH HOA" xfId="473"/>
    <cellStyle name="Dziesietny [0]_Invoices2001Slovakia_TDT quangngai" xfId="474"/>
    <cellStyle name="Dziesiętny [0]_Invoices2001Slovakia_TDT quangngai" xfId="475"/>
    <cellStyle name="Dziesietny [0]_Invoices2001Slovakia_TMDT(10-5-06)" xfId="476"/>
    <cellStyle name="Dziesietny_Invoices2001Slovakia" xfId="477"/>
    <cellStyle name="Dziesiętny_Invoices2001Slovakia" xfId="478"/>
    <cellStyle name="Dziesietny_Invoices2001Slovakia_01_Nha so 1_Dien" xfId="479"/>
    <cellStyle name="Dziesiętny_Invoices2001Slovakia_01_Nha so 1_Dien" xfId="480"/>
    <cellStyle name="Dziesietny_Invoices2001Slovakia_10_Nha so 10_Dien1" xfId="481"/>
    <cellStyle name="Dziesiętny_Invoices2001Slovakia_10_Nha so 10_Dien1" xfId="482"/>
    <cellStyle name="Dziesietny_Invoices2001Slovakia_Book1" xfId="483"/>
    <cellStyle name="Dziesiętny_Invoices2001Slovakia_Book1" xfId="484"/>
    <cellStyle name="Dziesietny_Invoices2001Slovakia_Book1_1" xfId="485"/>
    <cellStyle name="Dziesiętny_Invoices2001Slovakia_Book1_1" xfId="486"/>
    <cellStyle name="Dziesietny_Invoices2001Slovakia_Book1_1_Book1" xfId="487"/>
    <cellStyle name="Dziesiętny_Invoices2001Slovakia_Book1_1_Book1" xfId="488"/>
    <cellStyle name="Dziesietny_Invoices2001Slovakia_Book1_2" xfId="489"/>
    <cellStyle name="Dziesiętny_Invoices2001Slovakia_Book1_2" xfId="490"/>
    <cellStyle name="Dziesietny_Invoices2001Slovakia_d-uong+TDT" xfId="491"/>
    <cellStyle name="Dziesiętny_Invoices2001Slovakia_Nhµ ®Ó xe" xfId="492"/>
    <cellStyle name="Dziesietny_Invoices2001Slovakia_Nha bao ve(28-7-05)" xfId="493"/>
    <cellStyle name="Dziesiętny_Invoices2001Slovakia_Nha bao ve(28-7-05)" xfId="494"/>
    <cellStyle name="Dziesietny_Invoices2001Slovakia_NHA de xe nguyen du" xfId="495"/>
    <cellStyle name="Dziesiętny_Invoices2001Slovakia_NHA de xe nguyen du" xfId="496"/>
    <cellStyle name="Dziesietny_Invoices2001Slovakia_Nhalamviec VTC(25-1-05)" xfId="497"/>
    <cellStyle name="Dziesiętny_Invoices2001Slovakia_Nhalamviec VTC(25-1-05)" xfId="498"/>
    <cellStyle name="Dziesietny_Invoices2001Slovakia_t.nuoc(12-10-06)" xfId="499"/>
    <cellStyle name="Dziesiętny_Invoices2001Slovakia_TDT KHANH HOA" xfId="500"/>
    <cellStyle name="Dziesietny_Invoices2001Slovakia_TDT quangngai" xfId="501"/>
    <cellStyle name="Dziesiętny_Invoices2001Slovakia_TDT quangngai" xfId="502"/>
    <cellStyle name="Dziesietny_Invoices2001Slovakia_TMDT(10-5-06)" xfId="503"/>
    <cellStyle name="e" xfId="504"/>
    <cellStyle name="Enter Currency (0)" xfId="505"/>
    <cellStyle name="Enter Currency (2)" xfId="506"/>
    <cellStyle name="Enter Units (0)" xfId="507"/>
    <cellStyle name="Enter Units (1)" xfId="508"/>
    <cellStyle name="Enter Units (2)" xfId="509"/>
    <cellStyle name="Explanatory Text" xfId="510"/>
    <cellStyle name="Explanatory Text 2" xfId="511"/>
    <cellStyle name="f" xfId="512"/>
    <cellStyle name="Fixed" xfId="513"/>
    <cellStyle name="Fixed 2" xfId="514"/>
    <cellStyle name="Fixed 3" xfId="515"/>
    <cellStyle name="Followed Hyperlink" xfId="516"/>
    <cellStyle name="Font Britannic16" xfId="517"/>
    <cellStyle name="Font Britannic18" xfId="518"/>
    <cellStyle name="Font CenturyCond 18" xfId="519"/>
    <cellStyle name="Font Cond20" xfId="520"/>
    <cellStyle name="Font LucidaSans16" xfId="521"/>
    <cellStyle name="Font NewCenturyCond18" xfId="522"/>
    <cellStyle name="Font Ottawa14" xfId="523"/>
    <cellStyle name="Font Ottawa16" xfId="524"/>
    <cellStyle name="Good" xfId="525"/>
    <cellStyle name="Good 2" xfId="526"/>
    <cellStyle name="Grey" xfId="527"/>
    <cellStyle name="Grey 2" xfId="528"/>
    <cellStyle name="Grey 2 2" xfId="529"/>
    <cellStyle name="Grey 2 3" xfId="530"/>
    <cellStyle name="Grey 3" xfId="531"/>
    <cellStyle name="gia" xfId="532"/>
    <cellStyle name="ha" xfId="533"/>
    <cellStyle name="HEADER" xfId="534"/>
    <cellStyle name="Header1" xfId="535"/>
    <cellStyle name="Header2" xfId="536"/>
    <cellStyle name="Heading 1" xfId="537"/>
    <cellStyle name="Heading 1 2" xfId="538"/>
    <cellStyle name="Heading 2" xfId="539"/>
    <cellStyle name="Heading 2 2" xfId="540"/>
    <cellStyle name="Heading 3" xfId="541"/>
    <cellStyle name="Heading 3 2" xfId="542"/>
    <cellStyle name="Heading 4" xfId="543"/>
    <cellStyle name="Heading 4 2" xfId="544"/>
    <cellStyle name="Heading1" xfId="545"/>
    <cellStyle name="Heading1 2" xfId="546"/>
    <cellStyle name="Heading2" xfId="547"/>
    <cellStyle name="Heading2 2" xfId="548"/>
    <cellStyle name="headoption" xfId="549"/>
    <cellStyle name="Hyperlink" xfId="550"/>
    <cellStyle name="Hyperlink 2" xfId="551"/>
    <cellStyle name="i phÝ kh¸c_B¶ng 2" xfId="552"/>
    <cellStyle name="I.3" xfId="553"/>
    <cellStyle name="i·0" xfId="554"/>
    <cellStyle name="ï-¾È»ê_BiÓu TB" xfId="555"/>
    <cellStyle name="Input" xfId="556"/>
    <cellStyle name="Input [yellow]" xfId="557"/>
    <cellStyle name="Input [yellow] 2" xfId="558"/>
    <cellStyle name="Input [yellow] 2 2" xfId="559"/>
    <cellStyle name="Input [yellow] 2 3" xfId="560"/>
    <cellStyle name="Input [yellow] 3" xfId="561"/>
    <cellStyle name="Input 2" xfId="562"/>
    <cellStyle name="Input 3" xfId="563"/>
    <cellStyle name="Input 4" xfId="564"/>
    <cellStyle name="kh¸c_Bang Chi tieu" xfId="565"/>
    <cellStyle name="khanh" xfId="566"/>
    <cellStyle name="Ledger 17 x 11 in" xfId="567"/>
    <cellStyle name="Ledger 17 x 11 in 2" xfId="568"/>
    <cellStyle name="Link Currency (0)" xfId="569"/>
    <cellStyle name="Link Currency (2)" xfId="570"/>
    <cellStyle name="Link Units (0)" xfId="571"/>
    <cellStyle name="Link Units (1)" xfId="572"/>
    <cellStyle name="Link Units (2)" xfId="573"/>
    <cellStyle name="Linked Cell" xfId="574"/>
    <cellStyle name="Linked Cell 2" xfId="575"/>
    <cellStyle name="Millares [0]_Well Timing" xfId="576"/>
    <cellStyle name="Millares_Well Timing" xfId="577"/>
    <cellStyle name="Milliers [0]_AR1194" xfId="578"/>
    <cellStyle name="Milliers_AR1194" xfId="579"/>
    <cellStyle name="Model" xfId="580"/>
    <cellStyle name="moi" xfId="581"/>
    <cellStyle name="moi 2" xfId="582"/>
    <cellStyle name="Moneda [0]_Well Timing" xfId="583"/>
    <cellStyle name="Moneda_Well Timing" xfId="584"/>
    <cellStyle name="Monétaire [0]_AR1194" xfId="585"/>
    <cellStyle name="Monétaire_AR1194" xfId="586"/>
    <cellStyle name="n" xfId="587"/>
    <cellStyle name="Neutral" xfId="588"/>
    <cellStyle name="Neutral 2" xfId="589"/>
    <cellStyle name="New Times Roman" xfId="590"/>
    <cellStyle name="New Times Roman 2" xfId="591"/>
    <cellStyle name="New Times Roman 2 2" xfId="592"/>
    <cellStyle name="New Times Roman 2 3" xfId="593"/>
    <cellStyle name="no dec" xfId="594"/>
    <cellStyle name="no dec 2" xfId="595"/>
    <cellStyle name="no dec 2 2" xfId="596"/>
    <cellStyle name="no dec 2 3" xfId="597"/>
    <cellStyle name="ÑONVÒ" xfId="598"/>
    <cellStyle name="Normal - Style1" xfId="599"/>
    <cellStyle name="Normal - 유형1" xfId="600"/>
    <cellStyle name="Normal 2" xfId="601"/>
    <cellStyle name="Normal 2 2" xfId="602"/>
    <cellStyle name="Normal 2_Du toan" xfId="603"/>
    <cellStyle name="Normal 3" xfId="604"/>
    <cellStyle name="Normal 3 2" xfId="605"/>
    <cellStyle name="Normal 4" xfId="606"/>
    <cellStyle name="Normal 4 2" xfId="607"/>
    <cellStyle name="Normal 8" xfId="608"/>
    <cellStyle name="Normal_DU PHONG PHI" xfId="609"/>
    <cellStyle name="Normal_DUTOAN_VnTime1_ver2" xfId="610"/>
    <cellStyle name="Normal_DUTOAN1" xfId="611"/>
    <cellStyle name="Normal_Tinh du phong do truot gia" xfId="612"/>
    <cellStyle name="Normal1" xfId="613"/>
    <cellStyle name="Normalny_Cennik obowiazuje od 06-08-2001 r (1)" xfId="614"/>
    <cellStyle name="Note" xfId="615"/>
    <cellStyle name="Note 2" xfId="616"/>
    <cellStyle name="Œ…‹æØ‚è [0.00]_laroux" xfId="617"/>
    <cellStyle name="Œ…‹æØ‚è_laroux" xfId="618"/>
    <cellStyle name="oft Excel]&#13;&#10;Comment=open=/f ‚ðw’è‚·‚é‚ÆAƒ†[ƒU[’è‹`ŠÖ”‚ðŠÖ”“\‚è•t‚¯‚Ìˆê——‚É“o˜^‚·‚é‚±‚Æ‚ª‚Å‚«‚Ü‚·B&#13;&#10;Maximized" xfId="619"/>
    <cellStyle name="oft Excel]&#13;&#10;Comment=open=/f ‚ðŽw’è‚·‚é‚ÆAƒ†[ƒU[’è‹`ŠÖ”‚ðŠÖ”“\‚è•t‚¯‚Ìˆê——‚É“o˜^‚·‚é‚±‚Æ‚ª‚Å‚«‚Ü‚·B&#13;&#10;Maximized" xfId="620"/>
    <cellStyle name="oft Excel]&#13;&#10;Comment=The open=/f lines load custom functions into the Paste Function list.&#13;&#10;Maximized=2&#13;&#10;Basics=1&#13;&#10;A" xfId="621"/>
    <cellStyle name="oft Excel]&#13;&#10;Comment=The open=/f lines load custom functions into the Paste Function list.&#13;&#10;Maximized=2&#13;&#10;Basics=1&#13;&#10;A 2" xfId="622"/>
    <cellStyle name="oft Excel]&#13;&#10;Comment=The open=/f lines load custom functions into the Paste Function list.&#13;&#10;Maximized=2&#13;&#10;Basics=1&#13;&#10;A 2 2" xfId="623"/>
    <cellStyle name="oft Excel]&#13;&#10;Comment=The open=/f lines load custom functions into the Paste Function list.&#13;&#10;Maximized=2&#13;&#10;Basics=1&#13;&#10;A 2 3" xfId="624"/>
    <cellStyle name="oft Excel]&#13;&#10;Comment=The open=/f lines load custom functions into the Paste Function list.&#13;&#10;Maximized=3&#13;&#10;Basics=1&#13;&#10;A" xfId="625"/>
    <cellStyle name="oft Excel]&#13;&#10;Comment=The open=/f lines load custom functions into the Paste Function list.&#13;&#10;Maximized=3&#13;&#10;Basics=1&#13;&#10;A 2" xfId="626"/>
    <cellStyle name="oft Excel]&#13;&#10;Comment=The open=/f lines load custom functions into the Paste Function list.&#13;&#10;Maximized=3&#13;&#10;Basics=1&#13;&#10;A 2 2" xfId="627"/>
    <cellStyle name="oft Excel]&#13;&#10;Comment=The open=/f lines load custom functions into the Paste Function list.&#13;&#10;Maximized=3&#13;&#10;Basics=1&#13;&#10;A 2 3" xfId="628"/>
    <cellStyle name="oft Excel]&#13;&#10;Comment=The open=/f lines load custom functions into the Paste Function list.&#13;&#10;Maximized=3&#13;&#10;Basics=1&#13;&#10;A 3" xfId="629"/>
    <cellStyle name="oft Excel]&#13;&#10;Comment=The open=/f lines load custom functions into the Paste Function list.&#13;&#10;Maximized=3&#13;&#10;Basics=1&#13;&#10;A 4" xfId="630"/>
    <cellStyle name="oft Excel]&#13;&#10;Comment=The open=/f lines load custom functions into the Paste Function list.&#13;&#10;Maximized=3&#13;&#10;Basics=1&#13;&#10;A_DUTOAN" xfId="631"/>
    <cellStyle name="omma [0]_Mktg Prog" xfId="632"/>
    <cellStyle name="ormal_Sheet1_1" xfId="633"/>
    <cellStyle name="Output" xfId="634"/>
    <cellStyle name="Output 2" xfId="635"/>
    <cellStyle name="Percent" xfId="636"/>
    <cellStyle name="Percent [0]" xfId="637"/>
    <cellStyle name="Percent [00]" xfId="638"/>
    <cellStyle name="Percent [2]" xfId="639"/>
    <cellStyle name="Percent [2] 2" xfId="640"/>
    <cellStyle name="Percent [2] 2 2" xfId="641"/>
    <cellStyle name="Percent [2] 2 3" xfId="642"/>
    <cellStyle name="Percent [2] 3" xfId="643"/>
    <cellStyle name="Percent [2] 4" xfId="644"/>
    <cellStyle name="Percent 2" xfId="645"/>
    <cellStyle name="Percent 3" xfId="646"/>
    <cellStyle name="Percent 4" xfId="647"/>
    <cellStyle name="Percent 5" xfId="648"/>
    <cellStyle name="Percent_Tinh du phong do truot gia" xfId="649"/>
    <cellStyle name="PERCENTAGE" xfId="650"/>
    <cellStyle name="PrePop Currency (0)" xfId="651"/>
    <cellStyle name="PrePop Currency (2)" xfId="652"/>
    <cellStyle name="PrePop Units (0)" xfId="653"/>
    <cellStyle name="PrePop Units (1)" xfId="654"/>
    <cellStyle name="PrePop Units (2)" xfId="655"/>
    <cellStyle name="pricing" xfId="656"/>
    <cellStyle name="PSChar" xfId="657"/>
    <cellStyle name="PSHeading" xfId="658"/>
    <cellStyle name="S—_x0008_" xfId="659"/>
    <cellStyle name="s]&#13;&#10;spooler=yes&#13;&#10;load=&#13;&#10;Beep=yes&#13;&#10;NullPort=None&#13;&#10;BorderWidth=3&#13;&#10;CursorBlinkRate=1200&#13;&#10;DoubleClickSpeed=452&#13;&#10;Programs=co" xfId="660"/>
    <cellStyle name="s]&#13;&#10;spooler=yes&#13;&#10;load=&#13;&#10;Beep=yes&#13;&#10;NullPort=None&#13;&#10;BorderWidth=3&#13;&#10;CursorBlinkRate=1200&#13;&#10;DoubleClickSpeed=452&#13;&#10;Programs=co 2" xfId="661"/>
    <cellStyle name="s]&#13;&#10;spooler=yes&#13;&#10;load=&#13;&#10;Beep=yes&#13;&#10;NullPort=None&#13;&#10;BorderWidth=3&#13;&#10;CursorBlinkRate=1200&#13;&#10;DoubleClickSpeed=452&#13;&#10;Programs=co 2 2" xfId="662"/>
    <cellStyle name="s]&#13;&#10;spooler=yes&#13;&#10;load=&#13;&#10;Beep=yes&#13;&#10;NullPort=None&#13;&#10;BorderWidth=3&#13;&#10;CursorBlinkRate=1200&#13;&#10;DoubleClickSpeed=452&#13;&#10;Programs=co 2 3" xfId="663"/>
    <cellStyle name="s]&#13;&#10;spooler=yes&#13;&#10;load=&#13;&#10;Beep=yes&#13;&#10;NullPort=None&#13;&#10;BorderWidth=3&#13;&#10;CursorBlinkRate=1200&#13;&#10;DoubleClickSpeed=452&#13;&#10;Programs=co 3" xfId="664"/>
    <cellStyle name="s]&#13;&#10;spooler=yes&#13;&#10;load=&#13;&#10;Beep=yes&#13;&#10;NullPort=None&#13;&#10;BorderWidth=3&#13;&#10;CursorBlinkRate=1200&#13;&#10;DoubleClickSpeed=452&#13;&#10;Programs=co 4" xfId="665"/>
    <cellStyle name="s]&#13;&#10;spooler=yes&#13;&#10;load=&#13;&#10;Beep=yes&#13;&#10;NullPort=None&#13;&#10;BorderWidth=3&#13;&#10;CursorBlinkRate=1200&#13;&#10;DoubleClickSpeed=452&#13;&#10;Programs=co_DUTOAN" xfId="666"/>
    <cellStyle name="SAPBEXaggData" xfId="667"/>
    <cellStyle name="SAPBEXaggDataEmph" xfId="668"/>
    <cellStyle name="SAPBEXaggItem" xfId="669"/>
    <cellStyle name="SAPBEXchaText" xfId="670"/>
    <cellStyle name="SAPBEXexcBad7" xfId="671"/>
    <cellStyle name="SAPBEXexcBad8" xfId="672"/>
    <cellStyle name="SAPBEXexcBad9" xfId="673"/>
    <cellStyle name="SAPBEXexcCritical4" xfId="674"/>
    <cellStyle name="SAPBEXexcCritical5" xfId="675"/>
    <cellStyle name="SAPBEXexcCritical6" xfId="676"/>
    <cellStyle name="SAPBEXexcGood1" xfId="677"/>
    <cellStyle name="SAPBEXexcGood2" xfId="678"/>
    <cellStyle name="SAPBEXexcGood3" xfId="679"/>
    <cellStyle name="SAPBEXfilterDrill" xfId="680"/>
    <cellStyle name="SAPBEXfilterItem" xfId="681"/>
    <cellStyle name="SAPBEXfilterText" xfId="682"/>
    <cellStyle name="SAPBEXformats" xfId="683"/>
    <cellStyle name="SAPBEXheaderItem" xfId="684"/>
    <cellStyle name="SAPBEXheaderText" xfId="685"/>
    <cellStyle name="SAPBEXresData" xfId="686"/>
    <cellStyle name="SAPBEXresDataEmph" xfId="687"/>
    <cellStyle name="SAPBEXresItem" xfId="688"/>
    <cellStyle name="SAPBEXstdData" xfId="689"/>
    <cellStyle name="SAPBEXstdDataEmph" xfId="690"/>
    <cellStyle name="SAPBEXstdItem" xfId="691"/>
    <cellStyle name="SAPBEXtitle" xfId="692"/>
    <cellStyle name="SAPBEXundefined" xfId="693"/>
    <cellStyle name="songuyen" xfId="694"/>
    <cellStyle name="Standard_KALK-054" xfId="695"/>
    <cellStyle name="Style 1" xfId="696"/>
    <cellStyle name="Style 1 2" xfId="697"/>
    <cellStyle name="Style 1 2 2" xfId="698"/>
    <cellStyle name="Style 1 2 3" xfId="699"/>
    <cellStyle name="Style 1 3" xfId="700"/>
    <cellStyle name="Style 10" xfId="701"/>
    <cellStyle name="Style 11" xfId="702"/>
    <cellStyle name="Style 12" xfId="703"/>
    <cellStyle name="Style 13" xfId="704"/>
    <cellStyle name="Style 14" xfId="705"/>
    <cellStyle name="Style 15" xfId="706"/>
    <cellStyle name="Style 16" xfId="707"/>
    <cellStyle name="Style 17" xfId="708"/>
    <cellStyle name="Style 18" xfId="709"/>
    <cellStyle name="Style 19" xfId="710"/>
    <cellStyle name="Style 2" xfId="711"/>
    <cellStyle name="Style 20" xfId="712"/>
    <cellStyle name="Style 21" xfId="713"/>
    <cellStyle name="Style 22" xfId="714"/>
    <cellStyle name="Style 23" xfId="715"/>
    <cellStyle name="Style 24" xfId="716"/>
    <cellStyle name="Style 25" xfId="717"/>
    <cellStyle name="Style 26" xfId="718"/>
    <cellStyle name="Style 27" xfId="719"/>
    <cellStyle name="Style 28" xfId="720"/>
    <cellStyle name="Style 29" xfId="721"/>
    <cellStyle name="Style 3" xfId="722"/>
    <cellStyle name="Style 30" xfId="723"/>
    <cellStyle name="Style 31" xfId="724"/>
    <cellStyle name="Style 32" xfId="725"/>
    <cellStyle name="Style 33" xfId="726"/>
    <cellStyle name="Style 34" xfId="727"/>
    <cellStyle name="Style 35" xfId="728"/>
    <cellStyle name="Style 36" xfId="729"/>
    <cellStyle name="Style 37" xfId="730"/>
    <cellStyle name="Style 38" xfId="731"/>
    <cellStyle name="Style 39" xfId="732"/>
    <cellStyle name="Style 4" xfId="733"/>
    <cellStyle name="Style 40" xfId="734"/>
    <cellStyle name="Style 41" xfId="735"/>
    <cellStyle name="Style 42" xfId="736"/>
    <cellStyle name="Style 43" xfId="737"/>
    <cellStyle name="Style 44" xfId="738"/>
    <cellStyle name="Style 45" xfId="739"/>
    <cellStyle name="Style 46" xfId="740"/>
    <cellStyle name="Style 47" xfId="741"/>
    <cellStyle name="Style 48" xfId="742"/>
    <cellStyle name="Style 49" xfId="743"/>
    <cellStyle name="Style 5" xfId="744"/>
    <cellStyle name="Style 50" xfId="745"/>
    <cellStyle name="Style 51" xfId="746"/>
    <cellStyle name="Style 52" xfId="747"/>
    <cellStyle name="Style 53" xfId="748"/>
    <cellStyle name="Style 54" xfId="749"/>
    <cellStyle name="Style 55" xfId="750"/>
    <cellStyle name="Style 56" xfId="751"/>
    <cellStyle name="Style 57" xfId="752"/>
    <cellStyle name="Style 58" xfId="753"/>
    <cellStyle name="Style 59" xfId="754"/>
    <cellStyle name="Style 6" xfId="755"/>
    <cellStyle name="Style 60" xfId="756"/>
    <cellStyle name="Style 61" xfId="757"/>
    <cellStyle name="Style 62" xfId="758"/>
    <cellStyle name="Style 63" xfId="759"/>
    <cellStyle name="Style 64" xfId="760"/>
    <cellStyle name="Style 65" xfId="761"/>
    <cellStyle name="Style 66" xfId="762"/>
    <cellStyle name="Style 67" xfId="763"/>
    <cellStyle name="Style 68" xfId="764"/>
    <cellStyle name="Style 69" xfId="765"/>
    <cellStyle name="Style 7" xfId="766"/>
    <cellStyle name="Style 70" xfId="767"/>
    <cellStyle name="Style 71" xfId="768"/>
    <cellStyle name="Style 72" xfId="769"/>
    <cellStyle name="Style 73" xfId="770"/>
    <cellStyle name="Style 74" xfId="771"/>
    <cellStyle name="Style 75" xfId="772"/>
    <cellStyle name="Style 76" xfId="773"/>
    <cellStyle name="Style 77" xfId="774"/>
    <cellStyle name="Style 78" xfId="775"/>
    <cellStyle name="Style 79" xfId="776"/>
    <cellStyle name="Style 8" xfId="777"/>
    <cellStyle name="Style 80" xfId="778"/>
    <cellStyle name="Style 81" xfId="779"/>
    <cellStyle name="Style 82" xfId="780"/>
    <cellStyle name="Style 83" xfId="781"/>
    <cellStyle name="Style 9" xfId="782"/>
    <cellStyle name="style_1" xfId="783"/>
    <cellStyle name="subhead" xfId="784"/>
    <cellStyle name="symbol" xfId="785"/>
    <cellStyle name="T" xfId="786"/>
    <cellStyle name="T 2" xfId="787"/>
    <cellStyle name="T 2 2" xfId="788"/>
    <cellStyle name="T 2 3" xfId="789"/>
    <cellStyle name="T 3" xfId="790"/>
    <cellStyle name="T 4" xfId="791"/>
    <cellStyle name="T 5" xfId="792"/>
    <cellStyle name="T_BEN 3_080227-KiemTra" xfId="793"/>
    <cellStyle name="T_Book1" xfId="794"/>
    <cellStyle name="T_Book1_1" xfId="795"/>
    <cellStyle name="T_Book1_1_CPK" xfId="796"/>
    <cellStyle name="T_Book1_1_Thiet bi" xfId="797"/>
    <cellStyle name="T_Book1_CPK" xfId="798"/>
    <cellStyle name="T_Book1_Thiet bi" xfId="799"/>
    <cellStyle name="T_CPK" xfId="800"/>
    <cellStyle name="T_DUTOAN" xfId="801"/>
    <cellStyle name="T_Thiet bi" xfId="802"/>
    <cellStyle name="Text Indent A" xfId="803"/>
    <cellStyle name="Text Indent B" xfId="804"/>
    <cellStyle name="Text Indent C" xfId="805"/>
    <cellStyle name="Title" xfId="806"/>
    <cellStyle name="Title 2" xfId="807"/>
    <cellStyle name="Total" xfId="808"/>
    <cellStyle name="Total 2" xfId="809"/>
    <cellStyle name="tt1" xfId="810"/>
    <cellStyle name="th" xfId="811"/>
    <cellStyle name="th 2" xfId="812"/>
    <cellStyle name="th 2 2" xfId="813"/>
    <cellStyle name="th 2 3" xfId="814"/>
    <cellStyle name="th 3" xfId="815"/>
    <cellStyle name="th 4" xfId="816"/>
    <cellStyle name="th 5" xfId="817"/>
    <cellStyle name="th_DUTOAN" xfId="818"/>
    <cellStyle name="þ_x001D_ð¤_x000C_¯þ_x0014_&#13;¨þU_x0001_À_x0004_ _x0015__x000F__x0001__x0001_" xfId="819"/>
    <cellStyle name="þ_x001D_ð·_x000C_æþ'&#13;ßþU_x0001_Ø_x0005_ü_x0014__x0007__x0001__x0001_" xfId="820"/>
    <cellStyle name="þ_x001D_ð·_x000C_æþ'&#13;ßþU_x0001_Ø_x0005_ü_x0014__x0007__x0001__x0001_ 2" xfId="821"/>
    <cellStyle name="þ_x001D_ð·_x000C_æþ'&#13;ßþU_x0001_Ø_x0005_ü_x0014__x0007__x0001__x0001_ 2 2" xfId="822"/>
    <cellStyle name="þ_x001D_ð·_x000C_æþ'&#13;ßþU_x0001_Ø_x0005_ü_x0014__x0007__x0001__x0001_ 2 3" xfId="823"/>
    <cellStyle name="þ_x001D_ðÇ%Uý—&amp;Hý9_x0008_Ÿ s&#10;_x0007__x0001__x0001_" xfId="824"/>
    <cellStyle name="þ_x001D_ðÇ%Uý—&amp;Hý9_x0008_Ÿ s&#10;_x0007__x0001__x0001_ 2" xfId="825"/>
    <cellStyle name="þ_x001D_ðÇ%Uý—&amp;Hý9_x0008_Ÿ s&#10;_x0007__x0001__x0001_ 2 2" xfId="826"/>
    <cellStyle name="þ_x001D_ðÇ%Uý—&amp;Hý9_x0008_Ÿ s&#10;_x0007__x0001__x0001_ 2 3" xfId="827"/>
    <cellStyle name="þ_x001D_ðÇ%Uý—&amp;Hý9_x0008_Ÿ s&#10;_x0007__x0001__x0001_ 3" xfId="828"/>
    <cellStyle name="þ_x001D_ðK_x000C_Fý_x001B_&#13;9ýU_x0001_Ð_x0008_¦)_x0007__x0001__x0001_" xfId="829"/>
    <cellStyle name="ux_3_¼­¿ï-¾È»ê" xfId="830"/>
    <cellStyle name="viet" xfId="831"/>
    <cellStyle name="viet 2" xfId="832"/>
    <cellStyle name="viet 2 2" xfId="833"/>
    <cellStyle name="viet 2 3" xfId="834"/>
    <cellStyle name="viet 3" xfId="835"/>
    <cellStyle name="viet 4" xfId="836"/>
    <cellStyle name="viet 5" xfId="837"/>
    <cellStyle name="viet_DUTOAN" xfId="838"/>
    <cellStyle name="viet2" xfId="839"/>
    <cellStyle name="viet2 2" xfId="840"/>
    <cellStyle name="viet2 2 2" xfId="841"/>
    <cellStyle name="viet2 2 3" xfId="842"/>
    <cellStyle name="viet2 3" xfId="843"/>
    <cellStyle name="viet2 4" xfId="844"/>
    <cellStyle name="viet2 5" xfId="845"/>
    <cellStyle name="viet2_DUTOAN" xfId="846"/>
    <cellStyle name="vn time 10" xfId="847"/>
    <cellStyle name="vnbo" xfId="848"/>
    <cellStyle name="vntxt1" xfId="849"/>
    <cellStyle name="vntxt2" xfId="850"/>
    <cellStyle name="vnhead1" xfId="851"/>
    <cellStyle name="vnhead2" xfId="852"/>
    <cellStyle name="vnhead3" xfId="853"/>
    <cellStyle name="vnhead4" xfId="854"/>
    <cellStyle name="Währung [0]_UXO VII" xfId="855"/>
    <cellStyle name="Währung_UXO VII" xfId="856"/>
    <cellStyle name="Walutowy [0]_Invoices2001Slovakia" xfId="857"/>
    <cellStyle name="Walutowy_Invoices2001Slovakia" xfId="858"/>
    <cellStyle name="Warning Text" xfId="859"/>
    <cellStyle name="Warning Text 2" xfId="860"/>
    <cellStyle name="xuan" xfId="861"/>
    <cellStyle name="Ý kh¸c_B¶ng 1 (2)" xfId="862"/>
    <cellStyle name=" [0.00]_ Att. 1- Cover" xfId="863"/>
    <cellStyle name="_ Att. 1- Cover" xfId="864"/>
    <cellStyle name="?_ Att. 1- Cover" xfId="865"/>
    <cellStyle name="똿뗦먛귟 [0.00]_PRODUCT DETAIL Q1" xfId="866"/>
    <cellStyle name="똿뗦먛귟_PRODUCT DETAIL Q1" xfId="867"/>
    <cellStyle name="믅됞 [0.00]_PRODUCT DETAIL Q1" xfId="868"/>
    <cellStyle name="믅됞_PRODUCT DETAIL Q1" xfId="869"/>
    <cellStyle name="백분율_95" xfId="870"/>
    <cellStyle name="뷭?_BOOKSHIP" xfId="871"/>
    <cellStyle name="콤마 [ - 유형1" xfId="872"/>
    <cellStyle name="콤마 [ - 유형2" xfId="873"/>
    <cellStyle name="콤마 [ - 유형3" xfId="874"/>
    <cellStyle name="콤마 [ - 유형4" xfId="875"/>
    <cellStyle name="콤마 [ - 유형5" xfId="876"/>
    <cellStyle name="콤마 [ - 유형6" xfId="877"/>
    <cellStyle name="콤마 [ - 유형7" xfId="878"/>
    <cellStyle name="콤마 [ - 유형8" xfId="879"/>
    <cellStyle name="콤마 [0]_ 비목별 월별기술 " xfId="880"/>
    <cellStyle name="콤마_ 비목별 월별기술 " xfId="881"/>
    <cellStyle name="통화 [0]_1202" xfId="882"/>
    <cellStyle name="통화_1202" xfId="883"/>
    <cellStyle name="표준_(정보부문)월별인원계획" xfId="884"/>
    <cellStyle name="표줠_Sheet1_1_총괄표 (수출입) (2)" xfId="885"/>
    <cellStyle name="一般_00Q3902REV.1" xfId="886"/>
    <cellStyle name="千分位[0]_00Q3902REV.1" xfId="887"/>
    <cellStyle name="千分位_00Q3902REV.1" xfId="888"/>
    <cellStyle name="桁区切り_工費" xfId="889"/>
    <cellStyle name="標準_BOQ-08" xfId="890"/>
    <cellStyle name="貨幣 [0]_00Q3902REV.1" xfId="891"/>
    <cellStyle name="貨幣[0]_BRE" xfId="892"/>
    <cellStyle name="貨幣_00Q3902REV.1" xfId="8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 Id="rId3"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1485900</xdr:colOff>
      <xdr:row>3</xdr:row>
      <xdr:rowOff>0</xdr:rowOff>
    </xdr:from>
    <xdr:to>
      <xdr:col>11</xdr:col>
      <xdr:colOff>2095500</xdr:colOff>
      <xdr:row>4</xdr:row>
      <xdr:rowOff>276225</xdr:rowOff>
    </xdr:to>
    <xdr:pic>
      <xdr:nvPicPr>
        <xdr:cNvPr id="1" name="Picture 8"/>
        <xdr:cNvPicPr preferRelativeResize="1">
          <a:picLocks noChangeAspect="1"/>
        </xdr:cNvPicPr>
      </xdr:nvPicPr>
      <xdr:blipFill>
        <a:blip r:embed="rId1"/>
        <a:stretch>
          <a:fillRect/>
        </a:stretch>
      </xdr:blipFill>
      <xdr:spPr>
        <a:xfrm>
          <a:off x="13001625" y="1028700"/>
          <a:ext cx="609600" cy="438150"/>
        </a:xfrm>
        <a:prstGeom prst="rect">
          <a:avLst/>
        </a:prstGeom>
        <a:noFill/>
        <a:ln w="9525" cmpd="sng">
          <a:noFill/>
        </a:ln>
      </xdr:spPr>
    </xdr:pic>
    <xdr:clientData/>
  </xdr:twoCellAnchor>
  <xdr:twoCellAnchor editAs="oneCell">
    <xdr:from>
      <xdr:col>13</xdr:col>
      <xdr:colOff>171450</xdr:colOff>
      <xdr:row>16</xdr:row>
      <xdr:rowOff>114300</xdr:rowOff>
    </xdr:from>
    <xdr:to>
      <xdr:col>14</xdr:col>
      <xdr:colOff>190500</xdr:colOff>
      <xdr:row>20</xdr:row>
      <xdr:rowOff>57150</xdr:rowOff>
    </xdr:to>
    <xdr:pic>
      <xdr:nvPicPr>
        <xdr:cNvPr id="2" name="Picture 8"/>
        <xdr:cNvPicPr preferRelativeResize="1">
          <a:picLocks noChangeAspect="1"/>
        </xdr:cNvPicPr>
      </xdr:nvPicPr>
      <xdr:blipFill>
        <a:blip r:embed="rId1"/>
        <a:stretch>
          <a:fillRect/>
        </a:stretch>
      </xdr:blipFill>
      <xdr:spPr>
        <a:xfrm>
          <a:off x="17649825" y="3276600"/>
          <a:ext cx="590550" cy="476250"/>
        </a:xfrm>
        <a:prstGeom prst="rect">
          <a:avLst/>
        </a:prstGeom>
        <a:noFill/>
        <a:ln w="9525" cmpd="sng">
          <a:noFill/>
        </a:ln>
      </xdr:spPr>
    </xdr:pic>
    <xdr:clientData/>
  </xdr:twoCellAnchor>
  <xdr:twoCellAnchor editAs="oneCell">
    <xdr:from>
      <xdr:col>10</xdr:col>
      <xdr:colOff>276225</xdr:colOff>
      <xdr:row>10</xdr:row>
      <xdr:rowOff>95250</xdr:rowOff>
    </xdr:from>
    <xdr:to>
      <xdr:col>11</xdr:col>
      <xdr:colOff>9525</xdr:colOff>
      <xdr:row>13</xdr:row>
      <xdr:rowOff>142875</xdr:rowOff>
    </xdr:to>
    <xdr:pic>
      <xdr:nvPicPr>
        <xdr:cNvPr id="3" name="Picture 8"/>
        <xdr:cNvPicPr preferRelativeResize="1">
          <a:picLocks noChangeAspect="1"/>
        </xdr:cNvPicPr>
      </xdr:nvPicPr>
      <xdr:blipFill>
        <a:blip r:embed="rId1"/>
        <a:stretch>
          <a:fillRect/>
        </a:stretch>
      </xdr:blipFill>
      <xdr:spPr>
        <a:xfrm>
          <a:off x="10934700" y="2743200"/>
          <a:ext cx="5905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7</xdr:row>
      <xdr:rowOff>133350</xdr:rowOff>
    </xdr:from>
    <xdr:to>
      <xdr:col>8</xdr:col>
      <xdr:colOff>438150</xdr:colOff>
      <xdr:row>9</xdr:row>
      <xdr:rowOff>190500</xdr:rowOff>
    </xdr:to>
    <xdr:pic>
      <xdr:nvPicPr>
        <xdr:cNvPr id="1" name="Picture 8"/>
        <xdr:cNvPicPr preferRelativeResize="1">
          <a:picLocks noChangeAspect="1"/>
        </xdr:cNvPicPr>
      </xdr:nvPicPr>
      <xdr:blipFill>
        <a:blip r:embed="rId1"/>
        <a:stretch>
          <a:fillRect/>
        </a:stretch>
      </xdr:blipFill>
      <xdr:spPr>
        <a:xfrm>
          <a:off x="8877300" y="2324100"/>
          <a:ext cx="304800" cy="476250"/>
        </a:xfrm>
        <a:prstGeom prst="rect">
          <a:avLst/>
        </a:prstGeom>
        <a:noFill/>
        <a:ln w="9525" cmpd="sng">
          <a:noFill/>
        </a:ln>
      </xdr:spPr>
    </xdr:pic>
    <xdr:clientData/>
  </xdr:twoCellAnchor>
  <xdr:twoCellAnchor editAs="oneCell">
    <xdr:from>
      <xdr:col>8</xdr:col>
      <xdr:colOff>133350</xdr:colOff>
      <xdr:row>16</xdr:row>
      <xdr:rowOff>57150</xdr:rowOff>
    </xdr:from>
    <xdr:to>
      <xdr:col>8</xdr:col>
      <xdr:colOff>438150</xdr:colOff>
      <xdr:row>18</xdr:row>
      <xdr:rowOff>114300</xdr:rowOff>
    </xdr:to>
    <xdr:pic>
      <xdr:nvPicPr>
        <xdr:cNvPr id="2" name="Picture 8"/>
        <xdr:cNvPicPr preferRelativeResize="1">
          <a:picLocks noChangeAspect="1"/>
        </xdr:cNvPicPr>
      </xdr:nvPicPr>
      <xdr:blipFill>
        <a:blip r:embed="rId1"/>
        <a:stretch>
          <a:fillRect/>
        </a:stretch>
      </xdr:blipFill>
      <xdr:spPr>
        <a:xfrm>
          <a:off x="8877300" y="4219575"/>
          <a:ext cx="304800" cy="476250"/>
        </a:xfrm>
        <a:prstGeom prst="rect">
          <a:avLst/>
        </a:prstGeom>
        <a:noFill/>
        <a:ln w="9525" cmpd="sng">
          <a:noFill/>
        </a:ln>
      </xdr:spPr>
    </xdr:pic>
    <xdr:clientData/>
  </xdr:twoCellAnchor>
  <xdr:twoCellAnchor editAs="oneCell">
    <xdr:from>
      <xdr:col>9</xdr:col>
      <xdr:colOff>857250</xdr:colOff>
      <xdr:row>26</xdr:row>
      <xdr:rowOff>180975</xdr:rowOff>
    </xdr:from>
    <xdr:to>
      <xdr:col>9</xdr:col>
      <xdr:colOff>1162050</xdr:colOff>
      <xdr:row>28</xdr:row>
      <xdr:rowOff>0</xdr:rowOff>
    </xdr:to>
    <xdr:pic>
      <xdr:nvPicPr>
        <xdr:cNvPr id="3" name="Picture 8"/>
        <xdr:cNvPicPr preferRelativeResize="1">
          <a:picLocks noChangeAspect="1"/>
        </xdr:cNvPicPr>
      </xdr:nvPicPr>
      <xdr:blipFill>
        <a:blip r:embed="rId1"/>
        <a:stretch>
          <a:fillRect/>
        </a:stretch>
      </xdr:blipFill>
      <xdr:spPr>
        <a:xfrm>
          <a:off x="10306050" y="6353175"/>
          <a:ext cx="3048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133350</xdr:colOff>
      <xdr:row>5</xdr:row>
      <xdr:rowOff>0</xdr:rowOff>
    </xdr:from>
    <xdr:to>
      <xdr:col>14</xdr:col>
      <xdr:colOff>619125</xdr:colOff>
      <xdr:row>8</xdr:row>
      <xdr:rowOff>76200</xdr:rowOff>
    </xdr:to>
    <xdr:pic>
      <xdr:nvPicPr>
        <xdr:cNvPr id="1" name="Picture 2"/>
        <xdr:cNvPicPr preferRelativeResize="1">
          <a:picLocks noChangeAspect="1"/>
        </xdr:cNvPicPr>
      </xdr:nvPicPr>
      <xdr:blipFill>
        <a:blip r:embed="rId1"/>
        <a:stretch>
          <a:fillRect/>
        </a:stretch>
      </xdr:blipFill>
      <xdr:spPr>
        <a:xfrm>
          <a:off x="13096875" y="1819275"/>
          <a:ext cx="485775" cy="762000"/>
        </a:xfrm>
        <a:prstGeom prst="rect">
          <a:avLst/>
        </a:prstGeom>
        <a:noFill/>
        <a:ln w="9525" cmpd="sng">
          <a:noFill/>
        </a:ln>
      </xdr:spPr>
    </xdr:pic>
    <xdr:clientData/>
  </xdr:twoCellAnchor>
  <xdr:twoCellAnchor editAs="oneCell">
    <xdr:from>
      <xdr:col>14</xdr:col>
      <xdr:colOff>190500</xdr:colOff>
      <xdr:row>18</xdr:row>
      <xdr:rowOff>47625</xdr:rowOff>
    </xdr:from>
    <xdr:to>
      <xdr:col>14</xdr:col>
      <xdr:colOff>504825</xdr:colOff>
      <xdr:row>20</xdr:row>
      <xdr:rowOff>133350</xdr:rowOff>
    </xdr:to>
    <xdr:pic>
      <xdr:nvPicPr>
        <xdr:cNvPr id="2" name="Picture 3"/>
        <xdr:cNvPicPr preferRelativeResize="1">
          <a:picLocks noChangeAspect="1"/>
        </xdr:cNvPicPr>
      </xdr:nvPicPr>
      <xdr:blipFill>
        <a:blip r:embed="rId1"/>
        <a:stretch>
          <a:fillRect/>
        </a:stretch>
      </xdr:blipFill>
      <xdr:spPr>
        <a:xfrm>
          <a:off x="13154025" y="4076700"/>
          <a:ext cx="314325" cy="466725"/>
        </a:xfrm>
        <a:prstGeom prst="rect">
          <a:avLst/>
        </a:prstGeom>
        <a:noFill/>
        <a:ln w="9525" cmpd="sng">
          <a:noFill/>
        </a:ln>
      </xdr:spPr>
    </xdr:pic>
    <xdr:clientData/>
  </xdr:twoCellAnchor>
  <xdr:twoCellAnchor editAs="oneCell">
    <xdr:from>
      <xdr:col>14</xdr:col>
      <xdr:colOff>228600</xdr:colOff>
      <xdr:row>30</xdr:row>
      <xdr:rowOff>47625</xdr:rowOff>
    </xdr:from>
    <xdr:to>
      <xdr:col>14</xdr:col>
      <xdr:colOff>533400</xdr:colOff>
      <xdr:row>32</xdr:row>
      <xdr:rowOff>133350</xdr:rowOff>
    </xdr:to>
    <xdr:pic>
      <xdr:nvPicPr>
        <xdr:cNvPr id="3" name="Picture 4"/>
        <xdr:cNvPicPr preferRelativeResize="1">
          <a:picLocks noChangeAspect="1"/>
        </xdr:cNvPicPr>
      </xdr:nvPicPr>
      <xdr:blipFill>
        <a:blip r:embed="rId1"/>
        <a:stretch>
          <a:fillRect/>
        </a:stretch>
      </xdr:blipFill>
      <xdr:spPr>
        <a:xfrm>
          <a:off x="13192125" y="5981700"/>
          <a:ext cx="304800" cy="466725"/>
        </a:xfrm>
        <a:prstGeom prst="rect">
          <a:avLst/>
        </a:prstGeom>
        <a:noFill/>
        <a:ln w="9525" cmpd="sng">
          <a:noFill/>
        </a:ln>
      </xdr:spPr>
    </xdr:pic>
    <xdr:clientData/>
  </xdr:twoCellAnchor>
  <xdr:twoCellAnchor editAs="oneCell">
    <xdr:from>
      <xdr:col>6</xdr:col>
      <xdr:colOff>209550</xdr:colOff>
      <xdr:row>42</xdr:row>
      <xdr:rowOff>57150</xdr:rowOff>
    </xdr:from>
    <xdr:to>
      <xdr:col>6</xdr:col>
      <xdr:colOff>514350</xdr:colOff>
      <xdr:row>44</xdr:row>
      <xdr:rowOff>142875</xdr:rowOff>
    </xdr:to>
    <xdr:pic>
      <xdr:nvPicPr>
        <xdr:cNvPr id="4" name="Picture 5"/>
        <xdr:cNvPicPr preferRelativeResize="1">
          <a:picLocks noChangeAspect="1"/>
        </xdr:cNvPicPr>
      </xdr:nvPicPr>
      <xdr:blipFill>
        <a:blip r:embed="rId1"/>
        <a:stretch>
          <a:fillRect/>
        </a:stretch>
      </xdr:blipFill>
      <xdr:spPr>
        <a:xfrm>
          <a:off x="7505700" y="7896225"/>
          <a:ext cx="304800" cy="466725"/>
        </a:xfrm>
        <a:prstGeom prst="rect">
          <a:avLst/>
        </a:prstGeom>
        <a:noFill/>
        <a:ln w="9525" cmpd="sng">
          <a:noFill/>
        </a:ln>
      </xdr:spPr>
    </xdr:pic>
    <xdr:clientData/>
  </xdr:twoCellAnchor>
  <xdr:twoCellAnchor editAs="oneCell">
    <xdr:from>
      <xdr:col>13</xdr:col>
      <xdr:colOff>190500</xdr:colOff>
      <xdr:row>54</xdr:row>
      <xdr:rowOff>47625</xdr:rowOff>
    </xdr:from>
    <xdr:to>
      <xdr:col>13</xdr:col>
      <xdr:colOff>504825</xdr:colOff>
      <xdr:row>56</xdr:row>
      <xdr:rowOff>133350</xdr:rowOff>
    </xdr:to>
    <xdr:pic>
      <xdr:nvPicPr>
        <xdr:cNvPr id="5" name="Picture 6"/>
        <xdr:cNvPicPr preferRelativeResize="1">
          <a:picLocks noChangeAspect="1"/>
        </xdr:cNvPicPr>
      </xdr:nvPicPr>
      <xdr:blipFill>
        <a:blip r:embed="rId1"/>
        <a:stretch>
          <a:fillRect/>
        </a:stretch>
      </xdr:blipFill>
      <xdr:spPr>
        <a:xfrm>
          <a:off x="12496800" y="10182225"/>
          <a:ext cx="314325" cy="466725"/>
        </a:xfrm>
        <a:prstGeom prst="rect">
          <a:avLst/>
        </a:prstGeom>
        <a:noFill/>
        <a:ln w="9525" cmpd="sng">
          <a:noFill/>
        </a:ln>
      </xdr:spPr>
    </xdr:pic>
    <xdr:clientData/>
  </xdr:twoCellAnchor>
  <xdr:twoCellAnchor editAs="oneCell">
    <xdr:from>
      <xdr:col>14</xdr:col>
      <xdr:colOff>228600</xdr:colOff>
      <xdr:row>138</xdr:row>
      <xdr:rowOff>76200</xdr:rowOff>
    </xdr:from>
    <xdr:to>
      <xdr:col>14</xdr:col>
      <xdr:colOff>552450</xdr:colOff>
      <xdr:row>140</xdr:row>
      <xdr:rowOff>152400</xdr:rowOff>
    </xdr:to>
    <xdr:pic>
      <xdr:nvPicPr>
        <xdr:cNvPr id="6" name="Picture 7"/>
        <xdr:cNvPicPr preferRelativeResize="1">
          <a:picLocks noChangeAspect="1"/>
        </xdr:cNvPicPr>
      </xdr:nvPicPr>
      <xdr:blipFill>
        <a:blip r:embed="rId1"/>
        <a:stretch>
          <a:fillRect/>
        </a:stretch>
      </xdr:blipFill>
      <xdr:spPr>
        <a:xfrm>
          <a:off x="13192125" y="25631775"/>
          <a:ext cx="323850" cy="457200"/>
        </a:xfrm>
        <a:prstGeom prst="rect">
          <a:avLst/>
        </a:prstGeom>
        <a:noFill/>
        <a:ln w="9525" cmpd="sng">
          <a:noFill/>
        </a:ln>
      </xdr:spPr>
    </xdr:pic>
    <xdr:clientData/>
  </xdr:twoCellAnchor>
  <xdr:twoCellAnchor editAs="oneCell">
    <xdr:from>
      <xdr:col>14</xdr:col>
      <xdr:colOff>200025</xdr:colOff>
      <xdr:row>126</xdr:row>
      <xdr:rowOff>57150</xdr:rowOff>
    </xdr:from>
    <xdr:to>
      <xdr:col>14</xdr:col>
      <xdr:colOff>504825</xdr:colOff>
      <xdr:row>128</xdr:row>
      <xdr:rowOff>142875</xdr:rowOff>
    </xdr:to>
    <xdr:pic>
      <xdr:nvPicPr>
        <xdr:cNvPr id="7" name="Picture 8"/>
        <xdr:cNvPicPr preferRelativeResize="1">
          <a:picLocks noChangeAspect="1"/>
        </xdr:cNvPicPr>
      </xdr:nvPicPr>
      <xdr:blipFill>
        <a:blip r:embed="rId1"/>
        <a:stretch>
          <a:fillRect/>
        </a:stretch>
      </xdr:blipFill>
      <xdr:spPr>
        <a:xfrm>
          <a:off x="13163550" y="23707725"/>
          <a:ext cx="304800" cy="466725"/>
        </a:xfrm>
        <a:prstGeom prst="rect">
          <a:avLst/>
        </a:prstGeom>
        <a:noFill/>
        <a:ln w="9525" cmpd="sng">
          <a:noFill/>
        </a:ln>
      </xdr:spPr>
    </xdr:pic>
    <xdr:clientData/>
  </xdr:twoCellAnchor>
  <xdr:twoCellAnchor editAs="oneCell">
    <xdr:from>
      <xdr:col>13</xdr:col>
      <xdr:colOff>133350</xdr:colOff>
      <xdr:row>150</xdr:row>
      <xdr:rowOff>57150</xdr:rowOff>
    </xdr:from>
    <xdr:to>
      <xdr:col>13</xdr:col>
      <xdr:colOff>457200</xdr:colOff>
      <xdr:row>152</xdr:row>
      <xdr:rowOff>142875</xdr:rowOff>
    </xdr:to>
    <xdr:pic>
      <xdr:nvPicPr>
        <xdr:cNvPr id="8" name="Picture 11"/>
        <xdr:cNvPicPr preferRelativeResize="1">
          <a:picLocks noChangeAspect="1"/>
        </xdr:cNvPicPr>
      </xdr:nvPicPr>
      <xdr:blipFill>
        <a:blip r:embed="rId1"/>
        <a:stretch>
          <a:fillRect/>
        </a:stretch>
      </xdr:blipFill>
      <xdr:spPr>
        <a:xfrm>
          <a:off x="12439650" y="27517725"/>
          <a:ext cx="323850" cy="466725"/>
        </a:xfrm>
        <a:prstGeom prst="rect">
          <a:avLst/>
        </a:prstGeom>
        <a:noFill/>
        <a:ln w="9525" cmpd="sng">
          <a:noFill/>
        </a:ln>
      </xdr:spPr>
    </xdr:pic>
    <xdr:clientData/>
  </xdr:twoCellAnchor>
  <xdr:twoCellAnchor editAs="oneCell">
    <xdr:from>
      <xdr:col>13</xdr:col>
      <xdr:colOff>152400</xdr:colOff>
      <xdr:row>162</xdr:row>
      <xdr:rowOff>57150</xdr:rowOff>
    </xdr:from>
    <xdr:to>
      <xdr:col>13</xdr:col>
      <xdr:colOff>466725</xdr:colOff>
      <xdr:row>164</xdr:row>
      <xdr:rowOff>142875</xdr:rowOff>
    </xdr:to>
    <xdr:pic>
      <xdr:nvPicPr>
        <xdr:cNvPr id="9" name="Picture 12"/>
        <xdr:cNvPicPr preferRelativeResize="1">
          <a:picLocks noChangeAspect="1"/>
        </xdr:cNvPicPr>
      </xdr:nvPicPr>
      <xdr:blipFill>
        <a:blip r:embed="rId1"/>
        <a:stretch>
          <a:fillRect/>
        </a:stretch>
      </xdr:blipFill>
      <xdr:spPr>
        <a:xfrm>
          <a:off x="12458700" y="29422725"/>
          <a:ext cx="314325" cy="466725"/>
        </a:xfrm>
        <a:prstGeom prst="rect">
          <a:avLst/>
        </a:prstGeom>
        <a:noFill/>
        <a:ln w="9525" cmpd="sng">
          <a:noFill/>
        </a:ln>
      </xdr:spPr>
    </xdr:pic>
    <xdr:clientData/>
  </xdr:twoCellAnchor>
  <xdr:twoCellAnchor editAs="oneCell">
    <xdr:from>
      <xdr:col>10</xdr:col>
      <xdr:colOff>142875</xdr:colOff>
      <xdr:row>174</xdr:row>
      <xdr:rowOff>57150</xdr:rowOff>
    </xdr:from>
    <xdr:to>
      <xdr:col>10</xdr:col>
      <xdr:colOff>466725</xdr:colOff>
      <xdr:row>176</xdr:row>
      <xdr:rowOff>142875</xdr:rowOff>
    </xdr:to>
    <xdr:pic>
      <xdr:nvPicPr>
        <xdr:cNvPr id="10" name="Picture 13"/>
        <xdr:cNvPicPr preferRelativeResize="1">
          <a:picLocks noChangeAspect="1"/>
        </xdr:cNvPicPr>
      </xdr:nvPicPr>
      <xdr:blipFill>
        <a:blip r:embed="rId1"/>
        <a:stretch>
          <a:fillRect/>
        </a:stretch>
      </xdr:blipFill>
      <xdr:spPr>
        <a:xfrm>
          <a:off x="10477500" y="31327725"/>
          <a:ext cx="323850" cy="466725"/>
        </a:xfrm>
        <a:prstGeom prst="rect">
          <a:avLst/>
        </a:prstGeom>
        <a:noFill/>
        <a:ln w="9525" cmpd="sng">
          <a:noFill/>
        </a:ln>
      </xdr:spPr>
    </xdr:pic>
    <xdr:clientData/>
  </xdr:twoCellAnchor>
  <xdr:twoCellAnchor editAs="oneCell">
    <xdr:from>
      <xdr:col>10</xdr:col>
      <xdr:colOff>133350</xdr:colOff>
      <xdr:row>186</xdr:row>
      <xdr:rowOff>104775</xdr:rowOff>
    </xdr:from>
    <xdr:to>
      <xdr:col>10</xdr:col>
      <xdr:colOff>438150</xdr:colOff>
      <xdr:row>188</xdr:row>
      <xdr:rowOff>180975</xdr:rowOff>
    </xdr:to>
    <xdr:pic>
      <xdr:nvPicPr>
        <xdr:cNvPr id="11" name="Picture 14"/>
        <xdr:cNvPicPr preferRelativeResize="1">
          <a:picLocks noChangeAspect="1"/>
        </xdr:cNvPicPr>
      </xdr:nvPicPr>
      <xdr:blipFill>
        <a:blip r:embed="rId1"/>
        <a:stretch>
          <a:fillRect/>
        </a:stretch>
      </xdr:blipFill>
      <xdr:spPr>
        <a:xfrm>
          <a:off x="10467975" y="33299400"/>
          <a:ext cx="304800" cy="457200"/>
        </a:xfrm>
        <a:prstGeom prst="rect">
          <a:avLst/>
        </a:prstGeom>
        <a:noFill/>
        <a:ln w="9525" cmpd="sng">
          <a:noFill/>
        </a:ln>
      </xdr:spPr>
    </xdr:pic>
    <xdr:clientData/>
  </xdr:twoCellAnchor>
  <xdr:twoCellAnchor editAs="oneCell">
    <xdr:from>
      <xdr:col>13</xdr:col>
      <xdr:colOff>142875</xdr:colOff>
      <xdr:row>198</xdr:row>
      <xdr:rowOff>9525</xdr:rowOff>
    </xdr:from>
    <xdr:to>
      <xdr:col>13</xdr:col>
      <xdr:colOff>457200</xdr:colOff>
      <xdr:row>200</xdr:row>
      <xdr:rowOff>104775</xdr:rowOff>
    </xdr:to>
    <xdr:pic>
      <xdr:nvPicPr>
        <xdr:cNvPr id="12" name="Picture 15"/>
        <xdr:cNvPicPr preferRelativeResize="1">
          <a:picLocks noChangeAspect="1"/>
        </xdr:cNvPicPr>
      </xdr:nvPicPr>
      <xdr:blipFill>
        <a:blip r:embed="rId1"/>
        <a:stretch>
          <a:fillRect/>
        </a:stretch>
      </xdr:blipFill>
      <xdr:spPr>
        <a:xfrm>
          <a:off x="12449175" y="35128200"/>
          <a:ext cx="314325" cy="476250"/>
        </a:xfrm>
        <a:prstGeom prst="rect">
          <a:avLst/>
        </a:prstGeom>
        <a:noFill/>
        <a:ln w="9525" cmpd="sng">
          <a:noFill/>
        </a:ln>
      </xdr:spPr>
    </xdr:pic>
    <xdr:clientData/>
  </xdr:twoCellAnchor>
  <xdr:twoCellAnchor editAs="oneCell">
    <xdr:from>
      <xdr:col>13</xdr:col>
      <xdr:colOff>190500</xdr:colOff>
      <xdr:row>210</xdr:row>
      <xdr:rowOff>85725</xdr:rowOff>
    </xdr:from>
    <xdr:to>
      <xdr:col>13</xdr:col>
      <xdr:colOff>504825</xdr:colOff>
      <xdr:row>212</xdr:row>
      <xdr:rowOff>161925</xdr:rowOff>
    </xdr:to>
    <xdr:pic>
      <xdr:nvPicPr>
        <xdr:cNvPr id="13" name="Picture 16"/>
        <xdr:cNvPicPr preferRelativeResize="1">
          <a:picLocks noChangeAspect="1"/>
        </xdr:cNvPicPr>
      </xdr:nvPicPr>
      <xdr:blipFill>
        <a:blip r:embed="rId1"/>
        <a:stretch>
          <a:fillRect/>
        </a:stretch>
      </xdr:blipFill>
      <xdr:spPr>
        <a:xfrm>
          <a:off x="12496800" y="37128450"/>
          <a:ext cx="314325" cy="457200"/>
        </a:xfrm>
        <a:prstGeom prst="rect">
          <a:avLst/>
        </a:prstGeom>
        <a:noFill/>
        <a:ln w="9525" cmpd="sng">
          <a:noFill/>
        </a:ln>
      </xdr:spPr>
    </xdr:pic>
    <xdr:clientData/>
  </xdr:twoCellAnchor>
  <xdr:twoCellAnchor editAs="oneCell">
    <xdr:from>
      <xdr:col>13</xdr:col>
      <xdr:colOff>200025</xdr:colOff>
      <xdr:row>223</xdr:row>
      <xdr:rowOff>66675</xdr:rowOff>
    </xdr:from>
    <xdr:to>
      <xdr:col>13</xdr:col>
      <xdr:colOff>523875</xdr:colOff>
      <xdr:row>225</xdr:row>
      <xdr:rowOff>142875</xdr:rowOff>
    </xdr:to>
    <xdr:pic>
      <xdr:nvPicPr>
        <xdr:cNvPr id="14" name="Picture 16"/>
        <xdr:cNvPicPr preferRelativeResize="1">
          <a:picLocks noChangeAspect="1"/>
        </xdr:cNvPicPr>
      </xdr:nvPicPr>
      <xdr:blipFill>
        <a:blip r:embed="rId1"/>
        <a:stretch>
          <a:fillRect/>
        </a:stretch>
      </xdr:blipFill>
      <xdr:spPr>
        <a:xfrm>
          <a:off x="12506325" y="39223950"/>
          <a:ext cx="3238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nNhuong\Desktop\Tong%20hop%20Kinh%20phi%20Tram%20Yte%20Tan%20Th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nNhuong\AppData\Roaming\Microsoft\AddIns\DT972000.xla"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VietUc\LOCALS~1\Temp\1.%20kho%20h%20+%20nq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GUYET\HAM%20THUAN%20NAM\HAM%20MY%202\tong%20muc%20dau%20t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UTOAN97\Cong%20ty%20Thuy%20Duong\Nhuong\Cong%20trinh\Nha%20lam%20viec\Nha%20lam%20viec%20P.%20Thanh%20Hai\Du%20toan\6.%20Van%20chuye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NGUYET\HAM%20THUAN%20NAM\thcs%20ham%20m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USER\Documents\Zalo%20Received%20Files\khoi%208%20phong%20MG%20Sao%20Ma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huong\D\QUOCKHANH\NAM%202016\DU%20PHONG%20TRUOT%20GIA%20moi%20Q&#272;%20ph&#226;n%20lo&#7841;i%20&#273;&#432;&#7901;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iso"/>
      <sheetName val="1751"/>
      <sheetName val="TH CPXD"/>
      <sheetName val="TONGHOP-TDT"/>
      <sheetName val="TB 10P"/>
      <sheetName val="gia Thiet bi"/>
      <sheetName val="THKP da QT"/>
      <sheetName val="tongmucdautu"/>
      <sheetName val="00000000"/>
      <sheetName val="10000000"/>
      <sheetName val="20000000"/>
      <sheetName val="XL4Poppy"/>
    </sheetNames>
    <sheetDataSet>
      <sheetData sheetId="0">
        <row r="2">
          <cell r="A2" t="e">
            <v>#NAME?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_Toolbar"/>
      <sheetName val="My_Menu"/>
      <sheetName val="DIALOGDUTOAN"/>
      <sheetName val="Phantich"/>
      <sheetName val="ProExtra"/>
      <sheetName val="Main"/>
      <sheetName val="TV142000_TK012000"/>
      <sheetName val="DT97_1Goc"/>
      <sheetName val="Du toan"/>
      <sheetName val="Chi phi van chuyen"/>
      <sheetName val="Tong hop kinh phi"/>
      <sheetName val="Du lieu dau vao"/>
      <sheetName val="THCPTB"/>
      <sheetName val="THCPXD"/>
      <sheetName val="Don gia ca may"/>
      <sheetName val="Tinh CP May"/>
      <sheetName val="Tinh Chenh lech ca may"/>
      <sheetName val="Phan tich ca may"/>
      <sheetName val="Tinh Bu NL NL"/>
      <sheetName val="Chiet tinh GCM bu NL"/>
      <sheetName val="Du thau"/>
      <sheetName val="TMDT"/>
      <sheetName val="Config"/>
      <sheetName val="DL_VC"/>
      <sheetName val="Sheet1"/>
      <sheetName val="Delta"/>
      <sheetName val="G8"/>
    </sheetNames>
    <definedNames>
      <definedName name="KIEMTOAN"/>
      <definedName name="QUYETTOAN"/>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ng hop kinh phi"/>
      <sheetName val="Du toan"/>
      <sheetName val="Phan tich vat tu"/>
      <sheetName val="Tong hop vat tu"/>
      <sheetName val="Du thau"/>
      <sheetName val="Don gia chi tiet"/>
      <sheetName val="Gia tri vat tu"/>
      <sheetName val="Chi phi van chuyen"/>
      <sheetName val="Chenh lech vat tu"/>
      <sheetName val="Don gia ca may"/>
      <sheetName val="Tinh CP May"/>
      <sheetName val="Bia du toan"/>
      <sheetName val="Config"/>
      <sheetName val="DL_CM"/>
      <sheetName val="DL_VC"/>
    </sheetNames>
    <sheetDataSet>
      <sheetData sheetId="0">
        <row r="17">
          <cell r="D17">
            <v>860760270.9870832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u toan"/>
      <sheetName val="Phan tich vat tu"/>
      <sheetName val="Tong hop vat tu"/>
      <sheetName val="Gia tri vat tu"/>
      <sheetName val="Chenh lech vat tu"/>
      <sheetName val="Phan tich ca may"/>
      <sheetName val="Chenh lech ca may"/>
      <sheetName val="Chiet tinh don gia CM"/>
      <sheetName val="Chi phi van chuyen"/>
      <sheetName val="Gia giao VL den HT"/>
      <sheetName val="Gia VL den HT"/>
      <sheetName val="Don gia chi tiet"/>
      <sheetName val="Du thau"/>
      <sheetName val="Tong DT (CT nho)"/>
      <sheetName val="Tong hop kinh phi co Bu GCM"/>
      <sheetName val="TMDT"/>
      <sheetName val="Tong hop kinh phi"/>
      <sheetName val="Tu van Thiet ke"/>
      <sheetName val="QD 957-2009"/>
      <sheetName val="Cong van 1751"/>
      <sheetName val="Tong hop DTXD CT"/>
      <sheetName val="Du toan XDCT"/>
      <sheetName val="Tong hop CPXD"/>
      <sheetName val="Tong hop CPTB"/>
      <sheetName val="Tong hop CPK"/>
      <sheetName val="Tien do thi cong"/>
      <sheetName val="B. Chon cu ly"/>
      <sheetName val="B.Tinh CPVC"/>
      <sheetName val="B. Gia den chan CT"/>
      <sheetName val="B4. Bang CUOCVC QD 29-2006"/>
      <sheetName val="Bia du toan"/>
      <sheetName val="Config"/>
      <sheetName val="TLg Laitau"/>
      <sheetName val="TLg CN&amp;Laixe"/>
      <sheetName val="TLg Laitau (2)"/>
      <sheetName val="TLg CN&amp;Laixe (2)"/>
      <sheetName val="Xem Ti trong"/>
    </sheetNames>
    <sheetDataSet>
      <sheetData sheetId="2">
        <row r="5">
          <cell r="B5" t="str">
            <v>M· hiÖu</v>
          </cell>
          <cell r="C5" t="str">
            <v>Tªn vËt t­</v>
          </cell>
          <cell r="D5" t="str">
            <v>§¬n vÞ</v>
          </cell>
          <cell r="E5" t="str">
            <v>Khèi l­îng</v>
          </cell>
        </row>
        <row r="6">
          <cell r="C6" t="str">
            <v>VËt liÖu</v>
          </cell>
        </row>
        <row r="7">
          <cell r="B7" t="str">
            <v>:1506</v>
          </cell>
          <cell r="C7" t="str">
            <v>Ng¾t ®iÖn tù ®éng (MCB) 2P 16A</v>
          </cell>
          <cell r="D7" t="str">
            <v>c¸i</v>
          </cell>
          <cell r="E7">
            <v>1</v>
          </cell>
        </row>
        <row r="8">
          <cell r="B8" t="str">
            <v>:1507</v>
          </cell>
          <cell r="C8" t="str">
            <v>Ng¾t ®iÖn tù ®éng (MCB) 2P 20A</v>
          </cell>
          <cell r="D8" t="str">
            <v>c¸i</v>
          </cell>
          <cell r="E8">
            <v>8</v>
          </cell>
        </row>
        <row r="9">
          <cell r="B9" t="str">
            <v>:1508</v>
          </cell>
          <cell r="C9" t="str">
            <v>Ng¾t ®iÖn tù ®éng (MCCB) 3P 80A</v>
          </cell>
          <cell r="D9" t="str">
            <v>c¸i</v>
          </cell>
          <cell r="E9">
            <v>1</v>
          </cell>
        </row>
        <row r="10">
          <cell r="B10" t="str">
            <v>:1943</v>
          </cell>
          <cell r="C10" t="str">
            <v>C«ng t¾c ®Ìn ©m 1 chiÒu, 10A 250V</v>
          </cell>
          <cell r="D10" t="str">
            <v>c¸i</v>
          </cell>
          <cell r="E10">
            <v>44</v>
          </cell>
        </row>
        <row r="11">
          <cell r="B11" t="str">
            <v>:1954</v>
          </cell>
          <cell r="C11" t="str">
            <v>Cån röa</v>
          </cell>
          <cell r="D11" t="str">
            <v>kg</v>
          </cell>
          <cell r="E11">
            <v>1.2495</v>
          </cell>
        </row>
        <row r="12">
          <cell r="B12" t="str">
            <v>:2117</v>
          </cell>
          <cell r="C12" t="str">
            <v>Co nhùa 90 ®é PVC fi 90mm</v>
          </cell>
          <cell r="D12" t="str">
            <v>c¸i</v>
          </cell>
          <cell r="E12">
            <v>20</v>
          </cell>
        </row>
        <row r="13">
          <cell r="B13" t="str">
            <v>:2242</v>
          </cell>
          <cell r="C13" t="str">
            <v>D©y dÉn ®iÖn 1x1,0mm2</v>
          </cell>
          <cell r="D13" t="str">
            <v>m</v>
          </cell>
          <cell r="E13">
            <v>867</v>
          </cell>
        </row>
        <row r="14">
          <cell r="B14" t="str">
            <v>:2244</v>
          </cell>
          <cell r="C14" t="str">
            <v>D©y dÉn ®iÖn 1x2,0mm2</v>
          </cell>
          <cell r="D14" t="str">
            <v>m</v>
          </cell>
          <cell r="E14">
            <v>408</v>
          </cell>
        </row>
        <row r="15">
          <cell r="B15" t="str">
            <v>:2247</v>
          </cell>
          <cell r="C15" t="str">
            <v>D©y dÉn ®iÖn 1x5mm2</v>
          </cell>
          <cell r="D15" t="str">
            <v>m</v>
          </cell>
          <cell r="E15">
            <v>306</v>
          </cell>
        </row>
        <row r="16">
          <cell r="B16" t="str">
            <v>:2249</v>
          </cell>
          <cell r="C16" t="str">
            <v>D©y dÉn ®iÖn 1x11mm2</v>
          </cell>
          <cell r="D16" t="str">
            <v>m</v>
          </cell>
          <cell r="E16">
            <v>51</v>
          </cell>
        </row>
        <row r="17">
          <cell r="B17" t="str">
            <v>:2495</v>
          </cell>
          <cell r="C17" t="str">
            <v>èng g©n ruét gµ fi 16mm luån d©y®iÖn ©m</v>
          </cell>
          <cell r="D17" t="str">
            <v>m</v>
          </cell>
          <cell r="E17">
            <v>714</v>
          </cell>
        </row>
        <row r="18">
          <cell r="B18" t="str">
            <v>:2507</v>
          </cell>
          <cell r="C18" t="str">
            <v>èng nhùa PVC fi 90mm</v>
          </cell>
          <cell r="D18" t="str">
            <v>m</v>
          </cell>
          <cell r="E18">
            <v>156.55</v>
          </cell>
        </row>
        <row r="19">
          <cell r="B19" t="str">
            <v>:2611</v>
          </cell>
          <cell r="C19" t="str">
            <v>èng thÐp ®en D50mm, L=8m</v>
          </cell>
          <cell r="D19" t="str">
            <v>m</v>
          </cell>
          <cell r="E19">
            <v>79.49549999999999</v>
          </cell>
        </row>
        <row r="20">
          <cell r="B20" t="str">
            <v>:2762</v>
          </cell>
          <cell r="C20" t="str">
            <v>Hép nèi d©y</v>
          </cell>
          <cell r="D20" t="str">
            <v>c¸i</v>
          </cell>
          <cell r="E20">
            <v>20</v>
          </cell>
        </row>
        <row r="21">
          <cell r="B21" t="str">
            <v>:2775</v>
          </cell>
          <cell r="C21" t="str">
            <v>Keo d¸n</v>
          </cell>
          <cell r="D21" t="str">
            <v>kg</v>
          </cell>
          <cell r="E21">
            <v>0.2</v>
          </cell>
        </row>
        <row r="22">
          <cell r="B22" t="str">
            <v>:2875</v>
          </cell>
          <cell r="C22" t="str">
            <v>Nhùa d¸n</v>
          </cell>
          <cell r="D22" t="str">
            <v>kg</v>
          </cell>
          <cell r="E22">
            <v>0.13949999999999999</v>
          </cell>
        </row>
        <row r="23">
          <cell r="B23" t="str">
            <v>:4201</v>
          </cell>
          <cell r="C23" t="str">
            <v>KÝnh (tr¾ng 5li)</v>
          </cell>
          <cell r="D23" t="str">
            <v>m2</v>
          </cell>
          <cell r="E23">
            <v>134.4</v>
          </cell>
        </row>
        <row r="24">
          <cell r="B24" t="str">
            <v>:5810</v>
          </cell>
          <cell r="C24" t="str">
            <v>§¸ c¾t</v>
          </cell>
          <cell r="D24" t="str">
            <v>viªn</v>
          </cell>
          <cell r="E24">
            <v>7.6022799999999995</v>
          </cell>
        </row>
        <row r="25">
          <cell r="B25" t="str">
            <v>:5811</v>
          </cell>
          <cell r="C25" t="str">
            <v>§¸ mµi</v>
          </cell>
          <cell r="D25" t="str">
            <v>viªn</v>
          </cell>
          <cell r="E25">
            <v>10.139029999999998</v>
          </cell>
        </row>
        <row r="26">
          <cell r="B26" t="str">
            <v>:5817</v>
          </cell>
          <cell r="C26" t="str">
            <v>§¸ d¨m 1x2</v>
          </cell>
          <cell r="D26" t="str">
            <v>m3</v>
          </cell>
          <cell r="E26">
            <v>151.0702974</v>
          </cell>
        </row>
        <row r="27">
          <cell r="B27" t="str">
            <v>:5819</v>
          </cell>
          <cell r="C27" t="str">
            <v>§¸ d¨m 4x6</v>
          </cell>
          <cell r="D27" t="str">
            <v>m3</v>
          </cell>
          <cell r="E27">
            <v>41.726318</v>
          </cell>
        </row>
        <row r="28">
          <cell r="B28" t="str">
            <v>:5831</v>
          </cell>
          <cell r="C28" t="str">
            <v>§¸ chÎ 15x20x25</v>
          </cell>
          <cell r="D28" t="str">
            <v>viªn</v>
          </cell>
          <cell r="E28">
            <v>2088.288</v>
          </cell>
        </row>
        <row r="29">
          <cell r="B29" t="str">
            <v>:5837</v>
          </cell>
          <cell r="C29" t="str">
            <v>§¸ tr¾ng</v>
          </cell>
          <cell r="D29" t="str">
            <v>kg</v>
          </cell>
          <cell r="E29">
            <v>901.8899999999999</v>
          </cell>
        </row>
        <row r="30">
          <cell r="B30" t="str">
            <v>:5850</v>
          </cell>
          <cell r="C30" t="str">
            <v>§Êt ®Ìn</v>
          </cell>
          <cell r="D30" t="str">
            <v>kg</v>
          </cell>
          <cell r="E30">
            <v>5.271560000000001</v>
          </cell>
        </row>
        <row r="31">
          <cell r="B31" t="str">
            <v>:5854</v>
          </cell>
          <cell r="C31" t="str">
            <v>§inh</v>
          </cell>
          <cell r="D31" t="str">
            <v>kg</v>
          </cell>
          <cell r="E31">
            <v>211.580544</v>
          </cell>
        </row>
        <row r="32">
          <cell r="B32" t="str">
            <v>:5856</v>
          </cell>
          <cell r="C32" t="str">
            <v>§inh ®Øa</v>
          </cell>
          <cell r="D32" t="str">
            <v>c¸i</v>
          </cell>
          <cell r="E32">
            <v>17.780336000000002</v>
          </cell>
        </row>
        <row r="33">
          <cell r="B33" t="str">
            <v>:5870</v>
          </cell>
          <cell r="C33" t="str">
            <v>§inh vÝt</v>
          </cell>
          <cell r="D33" t="str">
            <v>c¸i</v>
          </cell>
          <cell r="E33">
            <v>1672.6499999999999</v>
          </cell>
        </row>
        <row r="34">
          <cell r="B34" t="str">
            <v>:5884</v>
          </cell>
          <cell r="C34" t="str">
            <v>B¶n lÒ</v>
          </cell>
          <cell r="D34" t="str">
            <v>c¸i</v>
          </cell>
          <cell r="E34">
            <v>160</v>
          </cell>
        </row>
        <row r="35">
          <cell r="B35" t="str">
            <v>:5896</v>
          </cell>
          <cell r="C35" t="str">
            <v>Bét ®¸</v>
          </cell>
          <cell r="D35" t="str">
            <v>kg</v>
          </cell>
          <cell r="E35">
            <v>519.27</v>
          </cell>
        </row>
        <row r="36">
          <cell r="B36" t="str">
            <v>:5902</v>
          </cell>
          <cell r="C36" t="str">
            <v>Bét mµu</v>
          </cell>
          <cell r="D36" t="str">
            <v>kg</v>
          </cell>
          <cell r="E36">
            <v>5.7393</v>
          </cell>
        </row>
        <row r="37">
          <cell r="B37" t="str">
            <v>:5907</v>
          </cell>
          <cell r="C37" t="str">
            <v>BËt s¾t D10</v>
          </cell>
          <cell r="D37" t="str">
            <v>c¸i</v>
          </cell>
          <cell r="E37">
            <v>312.48</v>
          </cell>
        </row>
        <row r="38">
          <cell r="B38" t="str">
            <v>:5952</v>
          </cell>
          <cell r="C38" t="str">
            <v>Bu l«ng M20x80</v>
          </cell>
          <cell r="D38" t="str">
            <v>c¸i</v>
          </cell>
          <cell r="E38">
            <v>94.368</v>
          </cell>
        </row>
        <row r="39">
          <cell r="B39" t="str">
            <v>:5971</v>
          </cell>
          <cell r="C39" t="str">
            <v>C¸t mÞn ML 1,5 - 2,0</v>
          </cell>
          <cell r="D39" t="str">
            <v>m3</v>
          </cell>
          <cell r="E39">
            <v>103.708444</v>
          </cell>
        </row>
        <row r="40">
          <cell r="B40" t="str">
            <v>:5972</v>
          </cell>
          <cell r="C40" t="str">
            <v>C¸t nÒn</v>
          </cell>
          <cell r="D40" t="str">
            <v>m3</v>
          </cell>
          <cell r="E40">
            <v>167.36082000000002</v>
          </cell>
        </row>
        <row r="41">
          <cell r="B41" t="str">
            <v>:5976</v>
          </cell>
          <cell r="C41" t="str">
            <v>C¸t vµng</v>
          </cell>
          <cell r="D41" t="str">
            <v>m3</v>
          </cell>
          <cell r="E41">
            <v>118.71133998999997</v>
          </cell>
        </row>
        <row r="42">
          <cell r="B42" t="str">
            <v>:6093</v>
          </cell>
          <cell r="C42" t="str">
            <v>D©y thÐp</v>
          </cell>
          <cell r="D42" t="str">
            <v>kg</v>
          </cell>
          <cell r="E42">
            <v>303.99264000000005</v>
          </cell>
        </row>
        <row r="43">
          <cell r="B43" t="str">
            <v>:6121</v>
          </cell>
          <cell r="C43" t="str">
            <v>«xy</v>
          </cell>
          <cell r="D43" t="str">
            <v>chai</v>
          </cell>
          <cell r="E43">
            <v>0.8947040000000002</v>
          </cell>
        </row>
        <row r="44">
          <cell r="B44" t="str">
            <v>:6156</v>
          </cell>
          <cell r="C44" t="str">
            <v>Flinkote</v>
          </cell>
          <cell r="D44" t="str">
            <v>kg</v>
          </cell>
          <cell r="E44">
            <v>96.74025</v>
          </cell>
        </row>
        <row r="45">
          <cell r="B45" t="str">
            <v>:6168</v>
          </cell>
          <cell r="C45" t="str">
            <v>G¹ch èng 8x8x19</v>
          </cell>
          <cell r="D45" t="str">
            <v>viªn</v>
          </cell>
          <cell r="E45">
            <v>73958.071</v>
          </cell>
        </row>
        <row r="46">
          <cell r="B46" t="str">
            <v>:6191</v>
          </cell>
          <cell r="C46" t="str">
            <v>G¹ch l¸t 400x400</v>
          </cell>
          <cell r="D46" t="str">
            <v>m2</v>
          </cell>
          <cell r="E46">
            <v>482.5628099999999</v>
          </cell>
        </row>
        <row r="47">
          <cell r="B47" t="str">
            <v>:6207</v>
          </cell>
          <cell r="C47" t="str">
            <v>G¹ch thÎ 4x8x19</v>
          </cell>
          <cell r="D47" t="str">
            <v>viªn</v>
          </cell>
          <cell r="E47">
            <v>24793.136</v>
          </cell>
        </row>
        <row r="48">
          <cell r="B48" t="str">
            <v>:6286</v>
          </cell>
          <cell r="C48" t="str">
            <v>Gç ®µ nÑp</v>
          </cell>
          <cell r="D48" t="str">
            <v>m3</v>
          </cell>
          <cell r="E48">
            <v>2.6421580000000002</v>
          </cell>
        </row>
        <row r="49">
          <cell r="B49" t="str">
            <v>:6287</v>
          </cell>
          <cell r="C49" t="str">
            <v>Gç ®µ, chèng</v>
          </cell>
          <cell r="D49" t="str">
            <v>m3</v>
          </cell>
          <cell r="E49">
            <v>0.394362</v>
          </cell>
        </row>
        <row r="50">
          <cell r="B50" t="str">
            <v>:6289</v>
          </cell>
          <cell r="C50" t="str">
            <v>Gç chèng</v>
          </cell>
          <cell r="D50" t="str">
            <v>m3</v>
          </cell>
          <cell r="E50">
            <v>12.997364000000001</v>
          </cell>
        </row>
        <row r="51">
          <cell r="B51" t="str">
            <v>:6300</v>
          </cell>
          <cell r="C51" t="str">
            <v>Gç v¸n</v>
          </cell>
          <cell r="D51" t="str">
            <v>m3</v>
          </cell>
          <cell r="E51">
            <v>0.30744000000000005</v>
          </cell>
        </row>
        <row r="52">
          <cell r="B52" t="str">
            <v>:6301</v>
          </cell>
          <cell r="C52" t="str">
            <v>Gç v¸n cÇu c«ng t¸c</v>
          </cell>
          <cell r="D52" t="str">
            <v>m3</v>
          </cell>
          <cell r="E52">
            <v>0.34786000000000006</v>
          </cell>
        </row>
        <row r="53">
          <cell r="B53" t="str">
            <v>:6302</v>
          </cell>
          <cell r="C53" t="str">
            <v>Gç v¸n khu«n</v>
          </cell>
          <cell r="D53" t="str">
            <v>m3</v>
          </cell>
          <cell r="E53">
            <v>15.009984000000001</v>
          </cell>
        </row>
        <row r="54">
          <cell r="B54" t="str">
            <v>:6305</v>
          </cell>
          <cell r="C54" t="str">
            <v>Gç xÎ (lµm méc trang trÝ)</v>
          </cell>
          <cell r="D54" t="str">
            <v>m3</v>
          </cell>
          <cell r="E54">
            <v>0.13287000000000002</v>
          </cell>
        </row>
        <row r="55">
          <cell r="B55" t="str">
            <v>:6317</v>
          </cell>
          <cell r="C55" t="str">
            <v>Gi¸o thÐp</v>
          </cell>
          <cell r="D55" t="str">
            <v>kg</v>
          </cell>
          <cell r="E55">
            <v>83.44800000000001</v>
          </cell>
        </row>
        <row r="56">
          <cell r="B56" t="str">
            <v>:6409</v>
          </cell>
          <cell r="C56" t="str">
            <v>N­íc</v>
          </cell>
          <cell r="D56" t="str">
            <v>lÝt</v>
          </cell>
          <cell r="E56">
            <v>63524.617079999996</v>
          </cell>
        </row>
        <row r="57">
          <cell r="B57" t="str">
            <v>:6433</v>
          </cell>
          <cell r="C57" t="str">
            <v>Que hµn</v>
          </cell>
          <cell r="D57" t="str">
            <v>kg</v>
          </cell>
          <cell r="E57">
            <v>140.784894</v>
          </cell>
        </row>
        <row r="58">
          <cell r="B58" t="str">
            <v>:6497</v>
          </cell>
          <cell r="C58" t="str">
            <v>S¬n tæng hîp (s¾t)</v>
          </cell>
          <cell r="D58" t="str">
            <v>kg</v>
          </cell>
          <cell r="E58">
            <v>89.00878500000003</v>
          </cell>
        </row>
        <row r="59">
          <cell r="B59" t="str">
            <v>:6498</v>
          </cell>
          <cell r="C59" t="str">
            <v>S¬n tæng hîp (gç)</v>
          </cell>
          <cell r="D59" t="str">
            <v>kg</v>
          </cell>
          <cell r="E59">
            <v>17.472</v>
          </cell>
        </row>
        <row r="60">
          <cell r="B60" t="str">
            <v>:6517</v>
          </cell>
          <cell r="C60" t="str">
            <v>S¾t vu«ng ®Æc 16x16</v>
          </cell>
          <cell r="D60" t="str">
            <v>kg</v>
          </cell>
          <cell r="E60">
            <v>804.9699999999999</v>
          </cell>
        </row>
        <row r="61">
          <cell r="B61" t="str">
            <v>:6520</v>
          </cell>
          <cell r="C61" t="str">
            <v>S¾t vu«ng rçng 16x16</v>
          </cell>
          <cell r="D61" t="str">
            <v>kg</v>
          </cell>
          <cell r="E61">
            <v>1866.4799999999998</v>
          </cell>
        </row>
        <row r="62">
          <cell r="B62" t="str">
            <v>:6545</v>
          </cell>
          <cell r="C62" t="str">
            <v>T«n lîp m¸i dµy 0.42 ly</v>
          </cell>
          <cell r="D62" t="str">
            <v>m2</v>
          </cell>
          <cell r="E62">
            <v>440.46449999999993</v>
          </cell>
        </row>
        <row r="63">
          <cell r="B63" t="str">
            <v>:6607</v>
          </cell>
          <cell r="C63" t="str">
            <v>ThÐp h×nh</v>
          </cell>
          <cell r="D63" t="str">
            <v>kg</v>
          </cell>
          <cell r="E63">
            <v>2394.29108</v>
          </cell>
        </row>
        <row r="64">
          <cell r="B64" t="str">
            <v>:6621</v>
          </cell>
          <cell r="C64" t="str">
            <v>ThÐp tÊm</v>
          </cell>
          <cell r="D64" t="str">
            <v>kg</v>
          </cell>
          <cell r="E64">
            <v>177.592</v>
          </cell>
        </row>
        <row r="65">
          <cell r="B65" t="str">
            <v>:6629</v>
          </cell>
          <cell r="C65" t="str">
            <v>ThÐp trßn</v>
          </cell>
          <cell r="D65" t="str">
            <v>kg</v>
          </cell>
          <cell r="E65">
            <v>0</v>
          </cell>
        </row>
        <row r="66">
          <cell r="B66" t="str">
            <v>:6630</v>
          </cell>
          <cell r="C66" t="str">
            <v>ThÐp trßn D&lt;=10mm</v>
          </cell>
          <cell r="D66" t="str">
            <v>kg</v>
          </cell>
          <cell r="E66">
            <v>6542.8868</v>
          </cell>
        </row>
        <row r="67">
          <cell r="B67" t="str">
            <v>:6631</v>
          </cell>
          <cell r="C67" t="str">
            <v>ThÐp trßn D&lt;= 18mm</v>
          </cell>
          <cell r="D67" t="str">
            <v>kg</v>
          </cell>
          <cell r="E67">
            <v>9964.296</v>
          </cell>
        </row>
        <row r="68">
          <cell r="B68" t="str">
            <v>:6632</v>
          </cell>
          <cell r="C68" t="str">
            <v>ThÐp trßn D &gt; 18mm</v>
          </cell>
          <cell r="D68" t="str">
            <v>kg</v>
          </cell>
          <cell r="E68">
            <v>1854.3600000000001</v>
          </cell>
        </row>
        <row r="69">
          <cell r="B69" t="str">
            <v>:6701</v>
          </cell>
          <cell r="C69" t="str">
            <v>X¨ng</v>
          </cell>
          <cell r="D69" t="str">
            <v>kg</v>
          </cell>
          <cell r="E69">
            <v>41.292566000000015</v>
          </cell>
        </row>
        <row r="70">
          <cell r="B70" t="str">
            <v>:6709</v>
          </cell>
          <cell r="C70" t="str">
            <v>Xi m¨ng PC40</v>
          </cell>
          <cell r="D70" t="str">
            <v>kg</v>
          </cell>
          <cell r="E70">
            <v>78324.42626816</v>
          </cell>
        </row>
        <row r="71">
          <cell r="B71" t="str">
            <v>:6711</v>
          </cell>
          <cell r="C71" t="str">
            <v>Xi m¨ng tr¾ng</v>
          </cell>
          <cell r="D71" t="str">
            <v>kg</v>
          </cell>
          <cell r="E71">
            <v>576.8894399999999</v>
          </cell>
        </row>
        <row r="72">
          <cell r="B72" t="str">
            <v>:6733</v>
          </cell>
          <cell r="C72" t="str">
            <v>S¬n lãt chèng kiÒm ngoµi nhµ</v>
          </cell>
          <cell r="D72" t="str">
            <v>kg</v>
          </cell>
          <cell r="E72">
            <v>83.78105599999999</v>
          </cell>
        </row>
        <row r="73">
          <cell r="B73" t="str">
            <v>:6734</v>
          </cell>
          <cell r="C73" t="str">
            <v>S¬n lãt chèng kiÒm trong nhµ</v>
          </cell>
          <cell r="D73" t="str">
            <v>kg</v>
          </cell>
          <cell r="E73">
            <v>216.387125</v>
          </cell>
        </row>
        <row r="74">
          <cell r="B74" t="str">
            <v>:6735</v>
          </cell>
          <cell r="C74" t="str">
            <v>S¬n ngoµi nhµ</v>
          </cell>
          <cell r="D74" t="str">
            <v>kg</v>
          </cell>
          <cell r="E74">
            <v>157.97152</v>
          </cell>
        </row>
        <row r="75">
          <cell r="B75" t="str">
            <v>:6736</v>
          </cell>
          <cell r="C75" t="str">
            <v>S¬n trong nhµ</v>
          </cell>
          <cell r="D75" t="str">
            <v>kg</v>
          </cell>
          <cell r="E75">
            <v>387.76572799999997</v>
          </cell>
        </row>
        <row r="76">
          <cell r="B76" t="str">
            <v>:6741</v>
          </cell>
          <cell r="C76" t="str">
            <v>§Ìn huúnh quang ®«i 1,2m 2x40W 220W</v>
          </cell>
          <cell r="D76" t="str">
            <v>bé</v>
          </cell>
          <cell r="E76">
            <v>32</v>
          </cell>
        </row>
        <row r="77">
          <cell r="B77" t="str">
            <v>:6742</v>
          </cell>
          <cell r="C77" t="str">
            <v>§Ìn huúnh quang ®¬n 1,2m 40W 220W</v>
          </cell>
          <cell r="D77" t="str">
            <v>bé</v>
          </cell>
          <cell r="E77">
            <v>8</v>
          </cell>
        </row>
        <row r="78">
          <cell r="B78" t="str">
            <v>:6744</v>
          </cell>
          <cell r="C78" t="str">
            <v>§Ìn huúnh quang trßn 32W 220V</v>
          </cell>
          <cell r="D78" t="str">
            <v>Bé</v>
          </cell>
          <cell r="E78">
            <v>13</v>
          </cell>
        </row>
        <row r="79">
          <cell r="B79" t="str">
            <v>:6745</v>
          </cell>
          <cell r="C79" t="str">
            <v>Qu¹t trÇn 80W 220V + Dimer ®iÒu khiÓn</v>
          </cell>
          <cell r="D79" t="str">
            <v>bé</v>
          </cell>
          <cell r="E79">
            <v>16</v>
          </cell>
        </row>
        <row r="80">
          <cell r="B80" t="str">
            <v>:6746</v>
          </cell>
          <cell r="C80" t="str">
            <v>æ c¾m ®iÖn ®«i ©m 2 chÊu 10A 250V</v>
          </cell>
          <cell r="D80" t="str">
            <v>c¸i</v>
          </cell>
          <cell r="E80">
            <v>18</v>
          </cell>
        </row>
        <row r="81">
          <cell r="B81" t="str">
            <v>:6747</v>
          </cell>
          <cell r="C81" t="str">
            <v>Ng¾t ®iÖn tù ®éng (MCB) 2P 40A</v>
          </cell>
          <cell r="D81" t="str">
            <v>c¸i</v>
          </cell>
          <cell r="E81">
            <v>2</v>
          </cell>
        </row>
        <row r="82">
          <cell r="B82" t="str">
            <v>:6748</v>
          </cell>
          <cell r="C82" t="str">
            <v>Hép + mÆt c«ng t¾c, mÆt 2,3,4 lç</v>
          </cell>
          <cell r="D82" t="str">
            <v>c¸i</v>
          </cell>
          <cell r="E82">
            <v>35</v>
          </cell>
        </row>
        <row r="83">
          <cell r="B83" t="str">
            <v>:6749</v>
          </cell>
          <cell r="C83" t="str">
            <v>Hép + mÆt CB 1 lç</v>
          </cell>
          <cell r="D83" t="str">
            <v>c¸i</v>
          </cell>
          <cell r="E83">
            <v>9</v>
          </cell>
        </row>
        <row r="84">
          <cell r="B84" t="str">
            <v>:6750</v>
          </cell>
          <cell r="C84" t="str">
            <v>CÇu ch×</v>
          </cell>
          <cell r="D84" t="str">
            <v>c¸i</v>
          </cell>
          <cell r="E84">
            <v>35</v>
          </cell>
        </row>
        <row r="85">
          <cell r="B85" t="str">
            <v>:6751</v>
          </cell>
          <cell r="C85" t="str">
            <v>Tñ ®iÖn</v>
          </cell>
          <cell r="D85" t="str">
            <v>c¸i</v>
          </cell>
          <cell r="E85">
            <v>1</v>
          </cell>
        </row>
        <row r="86">
          <cell r="B86" t="str">
            <v>:6752</v>
          </cell>
          <cell r="C86" t="str">
            <v>B¨ng keo c¸ch ®iÖn</v>
          </cell>
          <cell r="D86" t="str">
            <v>cuén</v>
          </cell>
          <cell r="E86">
            <v>20</v>
          </cell>
        </row>
        <row r="87">
          <cell r="B87" t="str">
            <v>:6780</v>
          </cell>
          <cell r="C87" t="str">
            <v>CÇu ch¾n r¸c inox</v>
          </cell>
          <cell r="D87" t="str">
            <v>c¸i</v>
          </cell>
          <cell r="E87">
            <v>20</v>
          </cell>
        </row>
        <row r="88">
          <cell r="B88" t="str">
            <v>:6781</v>
          </cell>
          <cell r="C88" t="str">
            <v>D©y dÉn sÐt (C¸p chèng sÐt) chuyªn dïng 60mm2</v>
          </cell>
          <cell r="D88" t="str">
            <v>m</v>
          </cell>
          <cell r="E88">
            <v>2</v>
          </cell>
        </row>
        <row r="89">
          <cell r="B89" t="str">
            <v>:6782</v>
          </cell>
          <cell r="C89" t="str">
            <v>Cäc tiÕp ®Þa b»ng ®ång fi 16mm; L=2400mm</v>
          </cell>
          <cell r="D89" t="str">
            <v>cäc</v>
          </cell>
          <cell r="E89">
            <v>1</v>
          </cell>
        </row>
        <row r="90">
          <cell r="B90" t="str">
            <v>:6785</v>
          </cell>
          <cell r="C90" t="str">
            <v>èc siÕc c¸p b»ng ®ång</v>
          </cell>
          <cell r="D90" t="str">
            <v>c¸i</v>
          </cell>
          <cell r="E90">
            <v>2</v>
          </cell>
        </row>
        <row r="91">
          <cell r="B91" t="str">
            <v>:6788</v>
          </cell>
          <cell r="C91" t="str">
            <v>B×nh ch÷a ch¸y CO -2 3kg MT3</v>
          </cell>
          <cell r="D91" t="str">
            <v>B×nh</v>
          </cell>
          <cell r="E91">
            <v>4</v>
          </cell>
        </row>
        <row r="92">
          <cell r="B92" t="str">
            <v>:6789</v>
          </cell>
          <cell r="C92" t="str">
            <v>B×nh ch÷a ch¸y bét CO -2 3kg F8</v>
          </cell>
          <cell r="D92" t="str">
            <v>c¸i</v>
          </cell>
          <cell r="E92">
            <v>4</v>
          </cell>
        </row>
        <row r="93">
          <cell r="B93" t="str">
            <v>:6790</v>
          </cell>
          <cell r="C93" t="str">
            <v>Hép dùng b×nh ch÷a ch¸y</v>
          </cell>
          <cell r="D93" t="str">
            <v>Hép</v>
          </cell>
          <cell r="E93">
            <v>4</v>
          </cell>
        </row>
        <row r="94">
          <cell r="B94" t="str">
            <v>:6791</v>
          </cell>
          <cell r="C94" t="str">
            <v>Gi¸ ®ì b×nh ch÷a ch¸y ( ª kª s¾t )</v>
          </cell>
          <cell r="D94" t="str">
            <v>c¸i</v>
          </cell>
          <cell r="E94">
            <v>8</v>
          </cell>
        </row>
        <row r="95">
          <cell r="B95" t="str">
            <v>:6792</v>
          </cell>
          <cell r="C95" t="str">
            <v>§inh vÝt, t¾c kª nhùa 5-7 ph©n</v>
          </cell>
          <cell r="D95" t="str">
            <v>bÞch</v>
          </cell>
          <cell r="E95">
            <v>2</v>
          </cell>
        </row>
        <row r="96">
          <cell r="B96" t="str">
            <v>:6850</v>
          </cell>
          <cell r="C96" t="str">
            <v>Khãa Solex</v>
          </cell>
          <cell r="D96" t="str">
            <v>bé</v>
          </cell>
          <cell r="E96">
            <v>16</v>
          </cell>
        </row>
        <row r="97">
          <cell r="C97" t="str">
            <v>Nh©n c«ng</v>
          </cell>
        </row>
        <row r="98">
          <cell r="B98" t="str">
            <v>:7630</v>
          </cell>
          <cell r="C98" t="str">
            <v>Nh©n c«ng 3,0/7</v>
          </cell>
          <cell r="D98" t="str">
            <v>c«ng</v>
          </cell>
          <cell r="E98">
            <v>657.82674</v>
          </cell>
        </row>
        <row r="99">
          <cell r="B99" t="str">
            <v>:7635</v>
          </cell>
          <cell r="C99" t="str">
            <v>Nh©n c«ng 3,5/7</v>
          </cell>
          <cell r="D99" t="str">
            <v>c«ng</v>
          </cell>
          <cell r="E99">
            <v>1351.4001909999995</v>
          </cell>
        </row>
        <row r="100">
          <cell r="B100" t="str">
            <v>:7637</v>
          </cell>
          <cell r="C100" t="str">
            <v>Nh©n c«ng 3,7/7</v>
          </cell>
          <cell r="D100" t="str">
            <v>c«ng</v>
          </cell>
          <cell r="E100">
            <v>26.103600000000004</v>
          </cell>
        </row>
        <row r="101">
          <cell r="B101" t="str">
            <v>:7640</v>
          </cell>
          <cell r="C101" t="str">
            <v>Nh©n c«ng 4,0/7</v>
          </cell>
          <cell r="D101" t="str">
            <v>c«ng</v>
          </cell>
          <cell r="E101">
            <v>1611.1411759999999</v>
          </cell>
        </row>
        <row r="102">
          <cell r="B102" t="str">
            <v>:7645</v>
          </cell>
          <cell r="C102" t="str">
            <v>Nh©n c«ng 4,5/7</v>
          </cell>
          <cell r="D102" t="str">
            <v>c«ng</v>
          </cell>
          <cell r="E102">
            <v>179.47331999999997</v>
          </cell>
        </row>
        <row r="103">
          <cell r="B103" t="str">
            <v>:7735</v>
          </cell>
          <cell r="C103" t="str">
            <v>Nh©n c«ng 3,5/7</v>
          </cell>
          <cell r="D103" t="str">
            <v>c«ng</v>
          </cell>
          <cell r="E103">
            <v>297.31663999999995</v>
          </cell>
        </row>
        <row r="104">
          <cell r="C104" t="str">
            <v>M¸y thi c«ng</v>
          </cell>
        </row>
        <row r="105">
          <cell r="B105" t="str">
            <v>:8529</v>
          </cell>
          <cell r="C105" t="str">
            <v>CÇn cÈu « t« 10T</v>
          </cell>
          <cell r="D105" t="str">
            <v>ca</v>
          </cell>
          <cell r="E105">
            <v>0.664508</v>
          </cell>
        </row>
        <row r="106">
          <cell r="B106" t="str">
            <v>:8539</v>
          </cell>
          <cell r="C106" t="str">
            <v>CÇn cÈu th¸p 25T</v>
          </cell>
          <cell r="D106" t="str">
            <v>ca</v>
          </cell>
          <cell r="E106">
            <v>0.13176000000000002</v>
          </cell>
        </row>
        <row r="107">
          <cell r="B107" t="str">
            <v>:8587</v>
          </cell>
          <cell r="C107" t="str">
            <v>M¸y ®Çm dïi 1,5KW</v>
          </cell>
          <cell r="D107" t="str">
            <v>ca</v>
          </cell>
          <cell r="E107">
            <v>20.473496999999995</v>
          </cell>
        </row>
        <row r="108">
          <cell r="B108" t="str">
            <v>:8611</v>
          </cell>
          <cell r="C108" t="str">
            <v>M¸y c¾t g¹ch ®¸ 1,7KW</v>
          </cell>
          <cell r="D108" t="str">
            <v>ca</v>
          </cell>
          <cell r="E108">
            <v>16.80567</v>
          </cell>
        </row>
        <row r="109">
          <cell r="B109" t="str">
            <v>:8616</v>
          </cell>
          <cell r="C109" t="str">
            <v>M¸y c¾t uèn c¾t s¾t 5KW</v>
          </cell>
          <cell r="D109" t="str">
            <v>ca</v>
          </cell>
          <cell r="E109">
            <v>17.46657</v>
          </cell>
        </row>
        <row r="110">
          <cell r="B110" t="str">
            <v>:8621</v>
          </cell>
          <cell r="C110" t="str">
            <v>M¸y mµi 2,7KW</v>
          </cell>
          <cell r="D110" t="str">
            <v>ca</v>
          </cell>
          <cell r="E110">
            <v>11.46337</v>
          </cell>
        </row>
        <row r="111">
          <cell r="B111" t="str">
            <v>:8631</v>
          </cell>
          <cell r="C111" t="str">
            <v>M¸y hµn 23KW</v>
          </cell>
          <cell r="D111" t="str">
            <v>ca</v>
          </cell>
          <cell r="E111">
            <v>38.770765000000004</v>
          </cell>
        </row>
        <row r="112">
          <cell r="B112" t="str">
            <v>:8684</v>
          </cell>
          <cell r="C112" t="str">
            <v>M¸y trén v÷a 80L</v>
          </cell>
          <cell r="D112" t="str">
            <v>ca</v>
          </cell>
          <cell r="E112">
            <v>12.180981</v>
          </cell>
        </row>
        <row r="113">
          <cell r="B113" t="str">
            <v>:8685</v>
          </cell>
          <cell r="C113" t="str">
            <v>M¸y trén BT 250L</v>
          </cell>
          <cell r="D113" t="str">
            <v>ca</v>
          </cell>
          <cell r="E113">
            <v>15.71452</v>
          </cell>
        </row>
        <row r="114">
          <cell r="B114" t="str">
            <v>:8687</v>
          </cell>
          <cell r="C114" t="str">
            <v>M¸y vËn th¨ng 0,8T</v>
          </cell>
          <cell r="D114" t="str">
            <v>ca</v>
          </cell>
          <cell r="E114">
            <v>21.98586</v>
          </cell>
        </row>
        <row r="115">
          <cell r="B115" t="str">
            <v>:8689</v>
          </cell>
          <cell r="C115" t="str">
            <v>M¸y vËn th¨ng lång 3T</v>
          </cell>
          <cell r="D115" t="str">
            <v>ca</v>
          </cell>
          <cell r="E115">
            <v>17.0863</v>
          </cell>
        </row>
        <row r="116">
          <cell r="B116" t="str">
            <v>:9013</v>
          </cell>
          <cell r="C116" t="str">
            <v>M¸y hµn 23 kW</v>
          </cell>
          <cell r="D116" t="str">
            <v>ca</v>
          </cell>
          <cell r="E116">
            <v>0.20565999999999998</v>
          </cell>
        </row>
        <row r="117">
          <cell r="B117" t="str">
            <v>:9018</v>
          </cell>
          <cell r="C117" t="str">
            <v>M¸y khoan BT cÇm tay 0,5KW</v>
          </cell>
          <cell r="D117" t="str">
            <v>ca</v>
          </cell>
          <cell r="E117">
            <v>13.48</v>
          </cell>
        </row>
      </sheetData>
      <sheetData sheetId="4">
        <row r="5">
          <cell r="B5" t="str">
            <v>M· hiÖu</v>
          </cell>
          <cell r="C5" t="str">
            <v>Tªn vËt t­</v>
          </cell>
          <cell r="D5" t="str">
            <v>§¬n vÞ</v>
          </cell>
          <cell r="E5" t="str">
            <v>Khèi l­îng</v>
          </cell>
          <cell r="F5" t="str">
            <v>§¬n gi¸</v>
          </cell>
        </row>
        <row r="6">
          <cell r="F6" t="str">
            <v>Gèc</v>
          </cell>
          <cell r="G6" t="str">
            <v>Th«ng b¸o</v>
          </cell>
        </row>
        <row r="7">
          <cell r="C7" t="str">
            <v>VËt liÖu</v>
          </cell>
          <cell r="D7" t="e">
            <v>#REF!</v>
          </cell>
        </row>
        <row r="8">
          <cell r="B8" t="str">
            <v>:1506</v>
          </cell>
          <cell r="C8" t="str">
            <v>Ng¾t ®iÖn tù ®éng (CB) 2P 10A</v>
          </cell>
          <cell r="D8" t="str">
            <v>c¸i</v>
          </cell>
          <cell r="E8" t="e">
            <v>#REF!</v>
          </cell>
          <cell r="F8">
            <v>170000</v>
          </cell>
          <cell r="G8">
            <v>170000</v>
          </cell>
        </row>
        <row r="9">
          <cell r="B9" t="str">
            <v>:1507</v>
          </cell>
          <cell r="C9" t="str">
            <v>Ng¾t ®iÖn tù ®éng (CB) 2P 20A</v>
          </cell>
          <cell r="D9" t="str">
            <v>c¸i</v>
          </cell>
          <cell r="E9" t="e">
            <v>#REF!</v>
          </cell>
          <cell r="F9">
            <v>260000</v>
          </cell>
          <cell r="G9">
            <v>260000</v>
          </cell>
        </row>
        <row r="10">
          <cell r="B10" t="str">
            <v>:1508</v>
          </cell>
          <cell r="C10" t="str">
            <v>Automat 3 pha&lt;=100A</v>
          </cell>
          <cell r="D10" t="str">
            <v>c¸i</v>
          </cell>
          <cell r="E10" t="e">
            <v>#REF!</v>
          </cell>
          <cell r="F10">
            <v>360000</v>
          </cell>
          <cell r="G10">
            <v>360000</v>
          </cell>
        </row>
        <row r="11">
          <cell r="B11" t="str">
            <v>:1943</v>
          </cell>
          <cell r="C11" t="str">
            <v>C«ng t¾c ®Ìn ©m 1 chiÒu, 10A 250V</v>
          </cell>
          <cell r="D11" t="str">
            <v>c¸i</v>
          </cell>
          <cell r="E11" t="e">
            <v>#REF!</v>
          </cell>
          <cell r="F11">
            <v>5000</v>
          </cell>
          <cell r="G11">
            <v>5000</v>
          </cell>
        </row>
        <row r="12">
          <cell r="B12" t="str">
            <v>:1954</v>
          </cell>
          <cell r="C12" t="str">
            <v>Cån röa</v>
          </cell>
          <cell r="D12" t="str">
            <v>kg</v>
          </cell>
          <cell r="E12" t="e">
            <v>#REF!</v>
          </cell>
          <cell r="F12">
            <v>8000</v>
          </cell>
          <cell r="G12">
            <v>8000</v>
          </cell>
        </row>
        <row r="13">
          <cell r="B13" t="str">
            <v>:2117</v>
          </cell>
          <cell r="C13" t="str">
            <v>Co nhùa 90 ®é PVC fi 90mm</v>
          </cell>
          <cell r="D13" t="str">
            <v>c¸i</v>
          </cell>
          <cell r="E13" t="e">
            <v>#REF!</v>
          </cell>
          <cell r="F13">
            <v>40650</v>
          </cell>
          <cell r="G13">
            <v>40650</v>
          </cell>
        </row>
        <row r="14">
          <cell r="B14" t="str">
            <v>:2242</v>
          </cell>
          <cell r="C14" t="str">
            <v>D©y dÉn ®iÖn 1x1,0mm2</v>
          </cell>
          <cell r="D14" t="str">
            <v>m</v>
          </cell>
          <cell r="E14" t="e">
            <v>#REF!</v>
          </cell>
          <cell r="F14">
            <v>1430</v>
          </cell>
          <cell r="G14">
            <v>1430</v>
          </cell>
        </row>
        <row r="15">
          <cell r="B15" t="str">
            <v>:2243</v>
          </cell>
          <cell r="C15" t="str">
            <v>D©y dÉn ®iÖn 1x1,5mm2</v>
          </cell>
          <cell r="D15" t="str">
            <v>m</v>
          </cell>
          <cell r="E15" t="e">
            <v>#REF!</v>
          </cell>
          <cell r="F15">
            <v>2145</v>
          </cell>
          <cell r="G15">
            <v>2145</v>
          </cell>
        </row>
        <row r="16">
          <cell r="B16" t="str">
            <v>:2247</v>
          </cell>
          <cell r="C16" t="str">
            <v>D©y dÉn ®iÖn 1x4mm2</v>
          </cell>
          <cell r="D16" t="str">
            <v>m</v>
          </cell>
          <cell r="E16" t="e">
            <v>#REF!</v>
          </cell>
          <cell r="F16">
            <v>4598</v>
          </cell>
          <cell r="G16">
            <v>4598</v>
          </cell>
        </row>
        <row r="17">
          <cell r="B17" t="str">
            <v>:2249</v>
          </cell>
          <cell r="C17" t="str">
            <v>D©y dÉn ®iÖn 1x10mm2</v>
          </cell>
          <cell r="D17" t="str">
            <v>m</v>
          </cell>
          <cell r="E17" t="e">
            <v>#REF!</v>
          </cell>
          <cell r="F17">
            <v>13178</v>
          </cell>
          <cell r="G17">
            <v>13178</v>
          </cell>
        </row>
        <row r="18">
          <cell r="B18" t="str">
            <v>:2495</v>
          </cell>
          <cell r="C18" t="str">
            <v>èng g©n ruét gµ fi 16mm luån d©y®iÖn ©m</v>
          </cell>
          <cell r="D18" t="str">
            <v>m</v>
          </cell>
          <cell r="E18" t="e">
            <v>#REF!</v>
          </cell>
          <cell r="F18">
            <v>3200</v>
          </cell>
          <cell r="G18">
            <v>3200</v>
          </cell>
        </row>
        <row r="19">
          <cell r="B19" t="str">
            <v>:2507</v>
          </cell>
          <cell r="C19" t="str">
            <v>èng nhùa PVC fi 90mm</v>
          </cell>
          <cell r="D19" t="str">
            <v>m</v>
          </cell>
          <cell r="E19" t="e">
            <v>#REF!</v>
          </cell>
          <cell r="F19">
            <v>40000</v>
          </cell>
          <cell r="G19">
            <v>40000</v>
          </cell>
        </row>
        <row r="20">
          <cell r="B20" t="str">
            <v>:2611</v>
          </cell>
          <cell r="C20" t="str">
            <v>èng thÐp ®en D50mm, L=8m</v>
          </cell>
          <cell r="D20" t="str">
            <v>m</v>
          </cell>
          <cell r="E20" t="e">
            <v>#REF!</v>
          </cell>
          <cell r="F20">
            <v>12750</v>
          </cell>
          <cell r="G20">
            <v>12750</v>
          </cell>
        </row>
        <row r="21">
          <cell r="B21" t="str">
            <v>:2762</v>
          </cell>
          <cell r="C21" t="str">
            <v>Hép nèi, ph©n d©y, automat &lt;=40x50mm</v>
          </cell>
          <cell r="D21" t="str">
            <v>c¸i</v>
          </cell>
          <cell r="E21" t="e">
            <v>#REF!</v>
          </cell>
          <cell r="F21">
            <v>1000</v>
          </cell>
          <cell r="G21">
            <v>1000</v>
          </cell>
        </row>
        <row r="22">
          <cell r="B22" t="str">
            <v>:2775</v>
          </cell>
          <cell r="C22" t="str">
            <v>Keo d¸n</v>
          </cell>
          <cell r="D22" t="str">
            <v>kg</v>
          </cell>
          <cell r="E22" t="e">
            <v>#REF!</v>
          </cell>
          <cell r="F22">
            <v>35000</v>
          </cell>
          <cell r="G22">
            <v>35000</v>
          </cell>
        </row>
        <row r="23">
          <cell r="B23" t="str">
            <v>:2875</v>
          </cell>
          <cell r="C23" t="str">
            <v>Nhùa d¸n</v>
          </cell>
          <cell r="D23" t="str">
            <v>kg</v>
          </cell>
          <cell r="E23" t="e">
            <v>#REF!</v>
          </cell>
          <cell r="F23">
            <v>12000</v>
          </cell>
          <cell r="G23">
            <v>12000</v>
          </cell>
        </row>
        <row r="24">
          <cell r="B24" t="str">
            <v>:2927</v>
          </cell>
          <cell r="C24" t="str">
            <v>Que hµn</v>
          </cell>
          <cell r="D24" t="str">
            <v>kg</v>
          </cell>
          <cell r="E24" t="e">
            <v>#REF!</v>
          </cell>
          <cell r="F24">
            <v>10000</v>
          </cell>
          <cell r="G24">
            <v>10000</v>
          </cell>
        </row>
        <row r="25">
          <cell r="B25" t="str">
            <v>:4201</v>
          </cell>
          <cell r="C25" t="str">
            <v>KÝnh (tr¾ng 5li)</v>
          </cell>
          <cell r="D25" t="str">
            <v>m2</v>
          </cell>
          <cell r="E25" t="e">
            <v>#REF!</v>
          </cell>
        </row>
        <row r="26">
          <cell r="B26" t="str">
            <v>:5810</v>
          </cell>
          <cell r="C26" t="str">
            <v>§¸ c¾t</v>
          </cell>
          <cell r="D26" t="str">
            <v>viªn</v>
          </cell>
          <cell r="E26" t="e">
            <v>#REF!</v>
          </cell>
          <cell r="F26">
            <v>15000</v>
          </cell>
          <cell r="G26">
            <v>15000</v>
          </cell>
        </row>
        <row r="27">
          <cell r="B27" t="str">
            <v>:5811</v>
          </cell>
          <cell r="C27" t="str">
            <v>§¸ mµi</v>
          </cell>
          <cell r="D27" t="str">
            <v>viªn</v>
          </cell>
          <cell r="E27" t="e">
            <v>#REF!</v>
          </cell>
          <cell r="F27">
            <v>12000</v>
          </cell>
          <cell r="G27">
            <v>12000</v>
          </cell>
        </row>
        <row r="28">
          <cell r="B28" t="str">
            <v>:5817</v>
          </cell>
          <cell r="C28" t="str">
            <v>§¸ d¨m 1x2</v>
          </cell>
          <cell r="D28" t="str">
            <v>m3</v>
          </cell>
          <cell r="E28" t="e">
            <v>#REF!</v>
          </cell>
          <cell r="F28">
            <v>123810</v>
          </cell>
          <cell r="G28">
            <v>123810</v>
          </cell>
        </row>
        <row r="29">
          <cell r="B29" t="str">
            <v>:5819</v>
          </cell>
          <cell r="C29" t="str">
            <v>§¸ d¨m 4x6</v>
          </cell>
          <cell r="D29" t="str">
            <v>m3</v>
          </cell>
          <cell r="E29" t="e">
            <v>#REF!</v>
          </cell>
          <cell r="F29">
            <v>90746</v>
          </cell>
          <cell r="G29">
            <v>90746</v>
          </cell>
        </row>
        <row r="30">
          <cell r="B30" t="str">
            <v>:5831</v>
          </cell>
          <cell r="C30" t="str">
            <v>§¸ chÎ 15x20x25</v>
          </cell>
          <cell r="D30" t="str">
            <v>viªn</v>
          </cell>
          <cell r="E30" t="e">
            <v>#REF!</v>
          </cell>
          <cell r="F30">
            <v>1500</v>
          </cell>
          <cell r="G30">
            <v>1500</v>
          </cell>
        </row>
        <row r="31">
          <cell r="B31" t="str">
            <v>:5837</v>
          </cell>
          <cell r="C31" t="str">
            <v>§¸ tr¾ng</v>
          </cell>
          <cell r="D31" t="str">
            <v>kg</v>
          </cell>
          <cell r="E31" t="e">
            <v>#REF!</v>
          </cell>
          <cell r="F31">
            <v>700</v>
          </cell>
          <cell r="G31">
            <v>700</v>
          </cell>
        </row>
        <row r="32">
          <cell r="B32" t="str">
            <v>:5850</v>
          </cell>
          <cell r="C32" t="str">
            <v>§Êt ®Ìn</v>
          </cell>
          <cell r="D32" t="str">
            <v>kg</v>
          </cell>
          <cell r="E32" t="e">
            <v>#REF!</v>
          </cell>
          <cell r="F32">
            <v>14000</v>
          </cell>
          <cell r="G32">
            <v>14000</v>
          </cell>
        </row>
        <row r="33">
          <cell r="B33" t="str">
            <v>:5854</v>
          </cell>
          <cell r="C33" t="str">
            <v>§inh</v>
          </cell>
          <cell r="D33" t="str">
            <v>kg</v>
          </cell>
          <cell r="E33" t="e">
            <v>#REF!</v>
          </cell>
          <cell r="F33">
            <v>9000</v>
          </cell>
          <cell r="G33">
            <v>9000</v>
          </cell>
        </row>
        <row r="34">
          <cell r="B34" t="str">
            <v>:5856</v>
          </cell>
          <cell r="C34" t="str">
            <v>§inh ®Øa</v>
          </cell>
          <cell r="D34" t="str">
            <v>c¸i</v>
          </cell>
          <cell r="E34" t="e">
            <v>#REF!</v>
          </cell>
          <cell r="F34">
            <v>1200</v>
          </cell>
          <cell r="G34">
            <v>1200</v>
          </cell>
        </row>
        <row r="35">
          <cell r="B35" t="str">
            <v>:5870</v>
          </cell>
          <cell r="C35" t="str">
            <v>§inh vÝt</v>
          </cell>
          <cell r="D35" t="str">
            <v>c¸i</v>
          </cell>
          <cell r="E35" t="e">
            <v>#REF!</v>
          </cell>
          <cell r="F35">
            <v>500</v>
          </cell>
          <cell r="G35">
            <v>500</v>
          </cell>
        </row>
        <row r="36">
          <cell r="B36" t="str">
            <v>:5884</v>
          </cell>
          <cell r="C36" t="str">
            <v>B¶n lÒ</v>
          </cell>
          <cell r="D36" t="str">
            <v>c¸i</v>
          </cell>
          <cell r="E36" t="e">
            <v>#REF!</v>
          </cell>
          <cell r="F36">
            <v>2000</v>
          </cell>
          <cell r="G36">
            <v>2000</v>
          </cell>
        </row>
        <row r="37">
          <cell r="B37" t="str">
            <v>:5896</v>
          </cell>
          <cell r="C37" t="str">
            <v>Bét ®¸</v>
          </cell>
          <cell r="D37" t="str">
            <v>kg</v>
          </cell>
          <cell r="E37" t="e">
            <v>#REF!</v>
          </cell>
          <cell r="F37">
            <v>800</v>
          </cell>
          <cell r="G37">
            <v>800</v>
          </cell>
        </row>
        <row r="38">
          <cell r="B38" t="str">
            <v>:5902</v>
          </cell>
          <cell r="C38" t="str">
            <v>Bét mµu</v>
          </cell>
          <cell r="D38" t="str">
            <v>kg</v>
          </cell>
          <cell r="E38" t="e">
            <v>#REF!</v>
          </cell>
          <cell r="F38">
            <v>21000</v>
          </cell>
          <cell r="G38">
            <v>21000</v>
          </cell>
        </row>
        <row r="39">
          <cell r="B39" t="str">
            <v>:5907</v>
          </cell>
          <cell r="C39" t="str">
            <v>BËt s¾t D10</v>
          </cell>
          <cell r="D39" t="str">
            <v>c¸i</v>
          </cell>
          <cell r="E39" t="e">
            <v>#REF!</v>
          </cell>
          <cell r="F39">
            <v>4000</v>
          </cell>
          <cell r="G39">
            <v>4000</v>
          </cell>
        </row>
        <row r="40">
          <cell r="B40" t="str">
            <v>:5952</v>
          </cell>
          <cell r="C40" t="str">
            <v>Bu l«ng M20x80</v>
          </cell>
          <cell r="D40" t="str">
            <v>c¸i</v>
          </cell>
          <cell r="E40" t="e">
            <v>#REF!</v>
          </cell>
          <cell r="F40">
            <v>6500</v>
          </cell>
          <cell r="G40">
            <v>6500</v>
          </cell>
        </row>
        <row r="41">
          <cell r="B41" t="str">
            <v>:5971</v>
          </cell>
          <cell r="C41" t="str">
            <v>C¸t mÞn ML 1,5 - 2,0</v>
          </cell>
          <cell r="D41" t="str">
            <v>m3</v>
          </cell>
          <cell r="E41" t="e">
            <v>#REF!</v>
          </cell>
          <cell r="F41">
            <v>62000</v>
          </cell>
          <cell r="G41">
            <v>62000</v>
          </cell>
        </row>
        <row r="42">
          <cell r="B42" t="str">
            <v>:5972</v>
          </cell>
          <cell r="C42" t="str">
            <v>C¸t nÒn</v>
          </cell>
          <cell r="D42" t="str">
            <v>m3</v>
          </cell>
          <cell r="E42" t="e">
            <v>#REF!</v>
          </cell>
          <cell r="F42">
            <v>70000</v>
          </cell>
          <cell r="G42">
            <v>70000</v>
          </cell>
        </row>
        <row r="43">
          <cell r="B43" t="str">
            <v>:5976</v>
          </cell>
          <cell r="C43" t="str">
            <v>C¸t vµng</v>
          </cell>
          <cell r="D43" t="str">
            <v>m3</v>
          </cell>
          <cell r="E43" t="e">
            <v>#REF!</v>
          </cell>
          <cell r="F43">
            <v>83000</v>
          </cell>
          <cell r="G43">
            <v>83000</v>
          </cell>
        </row>
        <row r="44">
          <cell r="B44" t="str">
            <v>:6093</v>
          </cell>
          <cell r="C44" t="str">
            <v>D©y thÐp</v>
          </cell>
          <cell r="D44" t="str">
            <v>kg</v>
          </cell>
          <cell r="E44" t="e">
            <v>#REF!</v>
          </cell>
          <cell r="F44">
            <v>9000</v>
          </cell>
          <cell r="G44">
            <v>9000</v>
          </cell>
        </row>
        <row r="45">
          <cell r="B45" t="str">
            <v>:6121</v>
          </cell>
          <cell r="C45" t="str">
            <v>«xy</v>
          </cell>
          <cell r="D45" t="str">
            <v>chai</v>
          </cell>
          <cell r="E45" t="e">
            <v>#REF!</v>
          </cell>
          <cell r="F45">
            <v>60000</v>
          </cell>
          <cell r="G45">
            <v>60000</v>
          </cell>
        </row>
        <row r="46">
          <cell r="B46" t="str">
            <v>:6156</v>
          </cell>
          <cell r="C46" t="str">
            <v>Flinkote</v>
          </cell>
          <cell r="D46" t="str">
            <v>kg</v>
          </cell>
          <cell r="E46" t="e">
            <v>#REF!</v>
          </cell>
          <cell r="F46">
            <v>32000</v>
          </cell>
          <cell r="G46">
            <v>32000</v>
          </cell>
        </row>
        <row r="47">
          <cell r="B47" t="str">
            <v>:6168</v>
          </cell>
          <cell r="C47" t="str">
            <v>G¹ch èng 8x8x19</v>
          </cell>
          <cell r="D47" t="str">
            <v>viªn</v>
          </cell>
          <cell r="E47" t="e">
            <v>#REF!</v>
          </cell>
          <cell r="F47">
            <v>368</v>
          </cell>
          <cell r="G47">
            <v>368</v>
          </cell>
        </row>
        <row r="48">
          <cell r="B48" t="str">
            <v>:6191</v>
          </cell>
          <cell r="C48" t="str">
            <v>G¹ch l¸t 400x400</v>
          </cell>
          <cell r="D48" t="str">
            <v>m2</v>
          </cell>
          <cell r="E48" t="e">
            <v>#REF!</v>
          </cell>
          <cell r="F48">
            <v>70000</v>
          </cell>
          <cell r="G48">
            <v>70000</v>
          </cell>
        </row>
        <row r="49">
          <cell r="B49" t="str">
            <v>:6207</v>
          </cell>
          <cell r="C49" t="str">
            <v>G¹ch thÎ 4x8x19</v>
          </cell>
          <cell r="D49" t="str">
            <v>viªn</v>
          </cell>
          <cell r="E49" t="e">
            <v>#REF!</v>
          </cell>
          <cell r="F49">
            <v>391</v>
          </cell>
          <cell r="G49">
            <v>391</v>
          </cell>
        </row>
        <row r="50">
          <cell r="B50" t="str">
            <v>:6286</v>
          </cell>
          <cell r="C50" t="str">
            <v>Gç ®µ nÑp</v>
          </cell>
          <cell r="D50" t="str">
            <v>m3</v>
          </cell>
          <cell r="E50" t="e">
            <v>#REF!</v>
          </cell>
          <cell r="F50">
            <v>2100000</v>
          </cell>
          <cell r="G50">
            <v>2100000</v>
          </cell>
        </row>
        <row r="51">
          <cell r="B51" t="str">
            <v>:6287</v>
          </cell>
          <cell r="C51" t="str">
            <v>Gç ®µ, chèng</v>
          </cell>
          <cell r="D51" t="str">
            <v>m3</v>
          </cell>
          <cell r="E51" t="e">
            <v>#REF!</v>
          </cell>
          <cell r="F51">
            <v>2100000</v>
          </cell>
          <cell r="G51">
            <v>2100000</v>
          </cell>
        </row>
        <row r="52">
          <cell r="B52" t="str">
            <v>:6289</v>
          </cell>
          <cell r="C52" t="str">
            <v>Gç chèng</v>
          </cell>
          <cell r="D52" t="str">
            <v>m3</v>
          </cell>
          <cell r="E52" t="e">
            <v>#REF!</v>
          </cell>
          <cell r="F52">
            <v>2100000</v>
          </cell>
          <cell r="G52">
            <v>2100000</v>
          </cell>
        </row>
        <row r="53">
          <cell r="B53" t="str">
            <v>:6300</v>
          </cell>
          <cell r="C53" t="str">
            <v>Gç v¸n</v>
          </cell>
          <cell r="D53" t="str">
            <v>m3</v>
          </cell>
          <cell r="E53" t="e">
            <v>#REF!</v>
          </cell>
          <cell r="F53">
            <v>2100000</v>
          </cell>
          <cell r="G53">
            <v>2100000</v>
          </cell>
        </row>
        <row r="54">
          <cell r="B54" t="str">
            <v>:6301</v>
          </cell>
          <cell r="C54" t="str">
            <v>Gç v¸n cÇu c«ng t¸c</v>
          </cell>
          <cell r="D54" t="str">
            <v>m3</v>
          </cell>
          <cell r="E54" t="e">
            <v>#REF!</v>
          </cell>
          <cell r="F54">
            <v>2100000</v>
          </cell>
          <cell r="G54">
            <v>2100000</v>
          </cell>
        </row>
        <row r="55">
          <cell r="B55" t="str">
            <v>:6302</v>
          </cell>
          <cell r="C55" t="str">
            <v>Gç v¸n khu«n</v>
          </cell>
          <cell r="D55" t="str">
            <v>m3</v>
          </cell>
          <cell r="E55" t="e">
            <v>#REF!</v>
          </cell>
          <cell r="F55">
            <v>2100000</v>
          </cell>
          <cell r="G55">
            <v>2100000</v>
          </cell>
        </row>
        <row r="56">
          <cell r="B56" t="str">
            <v>:6305</v>
          </cell>
          <cell r="C56" t="str">
            <v>Gç xÎ (lµm méc trang trÝ)</v>
          </cell>
          <cell r="D56" t="str">
            <v>m3</v>
          </cell>
          <cell r="E56" t="e">
            <v>#REF!</v>
          </cell>
          <cell r="F56">
            <v>4773000</v>
          </cell>
          <cell r="G56">
            <v>4773000</v>
          </cell>
        </row>
        <row r="57">
          <cell r="B57" t="str">
            <v>:6317</v>
          </cell>
          <cell r="C57" t="str">
            <v>Gi¸o thÐp</v>
          </cell>
          <cell r="D57" t="str">
            <v>kg</v>
          </cell>
          <cell r="E57" t="e">
            <v>#REF!</v>
          </cell>
          <cell r="F57">
            <v>15000</v>
          </cell>
          <cell r="G57">
            <v>15000</v>
          </cell>
        </row>
        <row r="58">
          <cell r="B58" t="str">
            <v>:6409</v>
          </cell>
          <cell r="C58" t="str">
            <v>N­íc</v>
          </cell>
          <cell r="D58" t="str">
            <v>lÝt</v>
          </cell>
          <cell r="E58" t="e">
            <v>#REF!</v>
          </cell>
          <cell r="F58">
            <v>5</v>
          </cell>
          <cell r="G58">
            <v>5</v>
          </cell>
        </row>
        <row r="59">
          <cell r="B59" t="str">
            <v>:6433</v>
          </cell>
          <cell r="C59" t="str">
            <v>Que hµn</v>
          </cell>
          <cell r="D59" t="str">
            <v>kg</v>
          </cell>
          <cell r="E59" t="e">
            <v>#REF!</v>
          </cell>
          <cell r="F59">
            <v>12000</v>
          </cell>
          <cell r="G59">
            <v>12000</v>
          </cell>
        </row>
        <row r="60">
          <cell r="B60" t="str">
            <v>:6478</v>
          </cell>
          <cell r="C60" t="str">
            <v>S¬n lãt Levis Fix chèng kiÒm</v>
          </cell>
          <cell r="D60" t="str">
            <v>kg</v>
          </cell>
          <cell r="E60" t="e">
            <v>#REF!</v>
          </cell>
          <cell r="F60">
            <v>45455</v>
          </cell>
          <cell r="G60">
            <v>45455</v>
          </cell>
        </row>
        <row r="61">
          <cell r="B61" t="str">
            <v>:6483</v>
          </cell>
          <cell r="C61" t="str">
            <v>S¬n Levis Latex</v>
          </cell>
          <cell r="D61" t="str">
            <v>kg</v>
          </cell>
          <cell r="E61" t="e">
            <v>#REF!</v>
          </cell>
          <cell r="F61">
            <v>63764</v>
          </cell>
          <cell r="G61">
            <v>63764</v>
          </cell>
        </row>
        <row r="62">
          <cell r="B62" t="str">
            <v>:6484</v>
          </cell>
          <cell r="C62" t="str">
            <v>S¬n Levis Latex ngoµi nhµ</v>
          </cell>
          <cell r="D62" t="str">
            <v>kg</v>
          </cell>
          <cell r="E62" t="e">
            <v>#REF!</v>
          </cell>
          <cell r="F62">
            <v>63764</v>
          </cell>
          <cell r="G62">
            <v>63764</v>
          </cell>
        </row>
        <row r="63">
          <cell r="B63" t="str">
            <v>:6486</v>
          </cell>
          <cell r="C63" t="str">
            <v>S¬n Levis Satin trong nhµ</v>
          </cell>
          <cell r="D63" t="str">
            <v>kg</v>
          </cell>
          <cell r="E63" t="e">
            <v>#REF!</v>
          </cell>
          <cell r="F63">
            <v>62727</v>
          </cell>
          <cell r="G63">
            <v>62727</v>
          </cell>
        </row>
        <row r="64">
          <cell r="B64" t="str">
            <v>:6497</v>
          </cell>
          <cell r="C64" t="str">
            <v>S¬n tæng hîp (s¾t)</v>
          </cell>
          <cell r="D64" t="str">
            <v>kg</v>
          </cell>
          <cell r="E64" t="e">
            <v>#REF!</v>
          </cell>
          <cell r="F64">
            <v>35000</v>
          </cell>
          <cell r="G64">
            <v>35000</v>
          </cell>
        </row>
        <row r="65">
          <cell r="B65" t="str">
            <v>:6498</v>
          </cell>
          <cell r="C65" t="str">
            <v>S¬n tæng hîp (gç)</v>
          </cell>
          <cell r="D65" t="str">
            <v>kg</v>
          </cell>
          <cell r="E65" t="e">
            <v>#REF!</v>
          </cell>
          <cell r="F65">
            <v>30000</v>
          </cell>
          <cell r="G65">
            <v>30000</v>
          </cell>
        </row>
        <row r="66">
          <cell r="B66" t="str">
            <v>:6517</v>
          </cell>
          <cell r="C66" t="str">
            <v>S¾t vu«ng ®Æc 16x16</v>
          </cell>
          <cell r="D66" t="str">
            <v>kg</v>
          </cell>
          <cell r="E66" t="e">
            <v>#REF!</v>
          </cell>
          <cell r="F66">
            <v>7800</v>
          </cell>
          <cell r="G66">
            <v>7800</v>
          </cell>
        </row>
        <row r="67">
          <cell r="B67" t="str">
            <v>:6520</v>
          </cell>
          <cell r="C67" t="str">
            <v>S¾t vu«ng rçng 16x16</v>
          </cell>
          <cell r="D67" t="str">
            <v>kg</v>
          </cell>
          <cell r="E67" t="e">
            <v>#REF!</v>
          </cell>
          <cell r="F67">
            <v>7800</v>
          </cell>
          <cell r="G67">
            <v>7800</v>
          </cell>
        </row>
        <row r="68">
          <cell r="B68" t="str">
            <v>:6545</v>
          </cell>
          <cell r="C68" t="str">
            <v>T«n lîp m¸i dµy 0.42 ly</v>
          </cell>
          <cell r="D68" t="str">
            <v>m2</v>
          </cell>
          <cell r="E68" t="e">
            <v>#REF!</v>
          </cell>
          <cell r="F68">
            <v>29000</v>
          </cell>
          <cell r="G68">
            <v>29000</v>
          </cell>
        </row>
        <row r="69">
          <cell r="B69" t="str">
            <v>:6607</v>
          </cell>
          <cell r="C69" t="str">
            <v>ThÐp h×nh</v>
          </cell>
          <cell r="D69" t="str">
            <v>kg</v>
          </cell>
          <cell r="E69" t="e">
            <v>#REF!</v>
          </cell>
          <cell r="F69">
            <v>8500</v>
          </cell>
          <cell r="G69">
            <v>8500</v>
          </cell>
        </row>
        <row r="70">
          <cell r="B70" t="str">
            <v>:6630</v>
          </cell>
          <cell r="C70" t="str">
            <v>ThÐp trßn D&lt;=10mm</v>
          </cell>
          <cell r="D70" t="str">
            <v>kg</v>
          </cell>
          <cell r="E70" t="e">
            <v>#REF!</v>
          </cell>
          <cell r="F70">
            <v>7476</v>
          </cell>
          <cell r="G70">
            <v>7476</v>
          </cell>
        </row>
        <row r="71">
          <cell r="B71" t="str">
            <v>:6631</v>
          </cell>
          <cell r="C71" t="str">
            <v>ThÐp trßn D&lt;= 18mm</v>
          </cell>
          <cell r="D71" t="str">
            <v>kg</v>
          </cell>
          <cell r="E71" t="e">
            <v>#REF!</v>
          </cell>
          <cell r="F71">
            <v>7558</v>
          </cell>
          <cell r="G71">
            <v>7558</v>
          </cell>
        </row>
        <row r="72">
          <cell r="B72" t="str">
            <v>:6632</v>
          </cell>
          <cell r="C72" t="str">
            <v>ThÐp trßn D &gt; 18mm</v>
          </cell>
          <cell r="D72" t="str">
            <v>kg</v>
          </cell>
          <cell r="E72" t="e">
            <v>#REF!</v>
          </cell>
          <cell r="F72">
            <v>7526</v>
          </cell>
          <cell r="G72">
            <v>7526</v>
          </cell>
        </row>
        <row r="73">
          <cell r="B73" t="str">
            <v>:6701</v>
          </cell>
          <cell r="C73" t="str">
            <v>X¨ng</v>
          </cell>
          <cell r="D73" t="str">
            <v>kg</v>
          </cell>
          <cell r="E73" t="e">
            <v>#REF!</v>
          </cell>
          <cell r="F73">
            <v>11500</v>
          </cell>
          <cell r="G73">
            <v>11500</v>
          </cell>
        </row>
        <row r="74">
          <cell r="B74" t="str">
            <v>:6709</v>
          </cell>
          <cell r="C74" t="str">
            <v>Xi m¨ng PC40</v>
          </cell>
          <cell r="D74" t="str">
            <v>kg</v>
          </cell>
          <cell r="E74" t="e">
            <v>#REF!</v>
          </cell>
          <cell r="F74">
            <v>886</v>
          </cell>
          <cell r="G74">
            <v>886</v>
          </cell>
        </row>
        <row r="75">
          <cell r="B75" t="str">
            <v>:6711</v>
          </cell>
          <cell r="C75" t="str">
            <v>Xi m¨ng tr¾ng</v>
          </cell>
          <cell r="D75" t="str">
            <v>kg</v>
          </cell>
          <cell r="E75" t="e">
            <v>#REF!</v>
          </cell>
          <cell r="F75">
            <v>1200</v>
          </cell>
          <cell r="G75">
            <v>1200</v>
          </cell>
        </row>
        <row r="76">
          <cell r="B76" t="str">
            <v>:6741</v>
          </cell>
          <cell r="C76" t="str">
            <v>§Ìn huúnh quang ®«i 1,2m 2x40W 220W</v>
          </cell>
          <cell r="D76" t="str">
            <v>bé</v>
          </cell>
          <cell r="E76" t="e">
            <v>#REF!</v>
          </cell>
        </row>
        <row r="77">
          <cell r="B77" t="str">
            <v>:6742</v>
          </cell>
          <cell r="C77" t="str">
            <v>§Ìn huúnh quang ®¬n 1,2m 40W 220W</v>
          </cell>
          <cell r="D77" t="str">
            <v>bé</v>
          </cell>
          <cell r="E77" t="e">
            <v>#REF!</v>
          </cell>
        </row>
        <row r="78">
          <cell r="B78" t="str">
            <v>:6744</v>
          </cell>
          <cell r="C78" t="str">
            <v>§Ìn huúnh quang trßn 32W 220V</v>
          </cell>
          <cell r="D78" t="str">
            <v>Bé</v>
          </cell>
          <cell r="E78" t="e">
            <v>#REF!</v>
          </cell>
        </row>
        <row r="79">
          <cell r="B79" t="str">
            <v>:6745</v>
          </cell>
          <cell r="C79" t="str">
            <v>Qu¹t trÇn 80W 220V + Dimer ®iÒu khiÓn</v>
          </cell>
          <cell r="D79" t="str">
            <v>bé</v>
          </cell>
          <cell r="E79" t="e">
            <v>#REF!</v>
          </cell>
        </row>
        <row r="80">
          <cell r="B80" t="str">
            <v>:6746</v>
          </cell>
          <cell r="C80" t="str">
            <v>æ c¾m ®iÖn ®«i ©m 2 chÊu 10A 250V</v>
          </cell>
          <cell r="D80" t="str">
            <v>c¸i</v>
          </cell>
          <cell r="E80" t="e">
            <v>#REF!</v>
          </cell>
        </row>
        <row r="81">
          <cell r="B81" t="str">
            <v>:6747</v>
          </cell>
          <cell r="C81" t="str">
            <v>Ng¾t ®iÖn tù ®éng 2P 75A</v>
          </cell>
          <cell r="D81" t="str">
            <v>c¸i</v>
          </cell>
          <cell r="E81" t="e">
            <v>#REF!</v>
          </cell>
        </row>
        <row r="82">
          <cell r="B82" t="str">
            <v>:6748</v>
          </cell>
          <cell r="C82" t="str">
            <v>Hép + mÆt c«ng t¾c, mÆt 2,3,4 lç</v>
          </cell>
          <cell r="D82" t="str">
            <v>c¸i</v>
          </cell>
          <cell r="E82" t="e">
            <v>#REF!</v>
          </cell>
        </row>
        <row r="83">
          <cell r="B83" t="str">
            <v>:6749</v>
          </cell>
          <cell r="C83" t="str">
            <v>Hép + mÆt CB 1 lç</v>
          </cell>
          <cell r="D83" t="str">
            <v>c¸i</v>
          </cell>
          <cell r="E83" t="e">
            <v>#REF!</v>
          </cell>
        </row>
        <row r="84">
          <cell r="B84" t="str">
            <v>:6750</v>
          </cell>
          <cell r="C84" t="str">
            <v>CÇu ch×</v>
          </cell>
          <cell r="D84" t="str">
            <v>c¸i</v>
          </cell>
          <cell r="E84" t="e">
            <v>#REF!</v>
          </cell>
        </row>
        <row r="85">
          <cell r="B85" t="str">
            <v>:6751</v>
          </cell>
          <cell r="C85" t="str">
            <v>Tñ ®iÖn</v>
          </cell>
          <cell r="D85" t="str">
            <v>c¸i</v>
          </cell>
          <cell r="E85" t="e">
            <v>#REF!</v>
          </cell>
        </row>
        <row r="86">
          <cell r="B86" t="str">
            <v>:6752</v>
          </cell>
          <cell r="C86" t="str">
            <v>B¨ng keo c¸ch ®iÖn</v>
          </cell>
          <cell r="D86" t="str">
            <v>cuén</v>
          </cell>
          <cell r="E86" t="e">
            <v>#REF!</v>
          </cell>
        </row>
        <row r="87">
          <cell r="B87" t="str">
            <v>:6780</v>
          </cell>
          <cell r="C87" t="str">
            <v>CÇu ch¾n r¸c inox</v>
          </cell>
          <cell r="D87" t="str">
            <v>c¸i</v>
          </cell>
          <cell r="E87" t="e">
            <v>#REF!</v>
          </cell>
        </row>
        <row r="88">
          <cell r="B88" t="str">
            <v>:6781</v>
          </cell>
          <cell r="C88" t="str">
            <v>D©y dÉn sÐt (C¸p chèng sÐt) chuyªn dïng 60mm2</v>
          </cell>
          <cell r="D88" t="str">
            <v>m</v>
          </cell>
          <cell r="E88" t="e">
            <v>#REF!</v>
          </cell>
        </row>
        <row r="89">
          <cell r="B89" t="str">
            <v>:6782</v>
          </cell>
          <cell r="C89" t="str">
            <v>Cäc tiÕp ®Þa b»ng ®ång fi 16mm; L=2400mm</v>
          </cell>
          <cell r="D89" t="str">
            <v>cäc</v>
          </cell>
          <cell r="E89" t="e">
            <v>#REF!</v>
          </cell>
        </row>
        <row r="90">
          <cell r="B90" t="str">
            <v>:6785</v>
          </cell>
          <cell r="C90" t="str">
            <v>èc siÕc c¸p b»ng ®ång</v>
          </cell>
          <cell r="D90" t="str">
            <v>c¸i</v>
          </cell>
          <cell r="E90" t="e">
            <v>#REF!</v>
          </cell>
        </row>
        <row r="91">
          <cell r="B91" t="str">
            <v>:6788</v>
          </cell>
          <cell r="C91" t="str">
            <v>B×nh ch÷a ch¸y CO -2 3kg MT3</v>
          </cell>
          <cell r="D91" t="str">
            <v>B×nh</v>
          </cell>
          <cell r="E91" t="e">
            <v>#REF!</v>
          </cell>
        </row>
        <row r="92">
          <cell r="B92" t="str">
            <v>:6789</v>
          </cell>
          <cell r="C92" t="str">
            <v>B×nh ch÷a ch¸y bét CO -2 3kg F8</v>
          </cell>
          <cell r="D92" t="str">
            <v>c¸i</v>
          </cell>
          <cell r="E92" t="e">
            <v>#REF!</v>
          </cell>
        </row>
        <row r="93">
          <cell r="B93" t="str">
            <v>:6790</v>
          </cell>
          <cell r="C93" t="str">
            <v>Hép dùng b×nh ch÷a ch¸y</v>
          </cell>
          <cell r="D93" t="str">
            <v>Hép</v>
          </cell>
          <cell r="E93" t="e">
            <v>#REF!</v>
          </cell>
        </row>
        <row r="94">
          <cell r="B94" t="str">
            <v>:6791</v>
          </cell>
          <cell r="C94" t="str">
            <v>Gi¸ ®ì b×nh ch÷a ch¸y ( ª kª s¾t )</v>
          </cell>
          <cell r="D94" t="str">
            <v>c¸i</v>
          </cell>
          <cell r="E94" t="e">
            <v>#REF!</v>
          </cell>
        </row>
        <row r="95">
          <cell r="B95" t="str">
            <v>:6792</v>
          </cell>
          <cell r="C95" t="str">
            <v>§inh vÝt, t¾c kª nhùa 5-7 ph©n</v>
          </cell>
          <cell r="D95" t="str">
            <v>bÞch</v>
          </cell>
          <cell r="E95" t="e">
            <v>#REF!</v>
          </cell>
        </row>
        <row r="96">
          <cell r="C96" t="str">
            <v>VËt liÖu kh¸c</v>
          </cell>
          <cell r="D96" t="str">
            <v>%</v>
          </cell>
        </row>
        <row r="97">
          <cell r="C97" t="str">
            <v>Nh©n c«ng</v>
          </cell>
        </row>
        <row r="98">
          <cell r="B98" t="str">
            <v>:7630</v>
          </cell>
          <cell r="C98" t="str">
            <v>Nh©n c«ng 3,0/7</v>
          </cell>
          <cell r="D98" t="str">
            <v>c«ng</v>
          </cell>
          <cell r="E98" t="e">
            <v>#REF!</v>
          </cell>
          <cell r="F98">
            <v>39329</v>
          </cell>
          <cell r="G98">
            <v>39329</v>
          </cell>
        </row>
        <row r="99">
          <cell r="B99" t="str">
            <v>:7635</v>
          </cell>
          <cell r="C99" t="str">
            <v>Nh©n c«ng 3,5/7</v>
          </cell>
          <cell r="D99" t="str">
            <v>c«ng</v>
          </cell>
          <cell r="E99" t="e">
            <v>#REF!</v>
          </cell>
          <cell r="F99">
            <v>42637</v>
          </cell>
          <cell r="G99">
            <v>42637</v>
          </cell>
        </row>
        <row r="100">
          <cell r="B100" t="str">
            <v>:7637</v>
          </cell>
          <cell r="C100" t="str">
            <v>Nh©n c«ng 3,7/7</v>
          </cell>
          <cell r="D100" t="str">
            <v>c«ng</v>
          </cell>
          <cell r="E100" t="e">
            <v>#REF!</v>
          </cell>
          <cell r="F100">
            <v>43960</v>
          </cell>
          <cell r="G100">
            <v>43960</v>
          </cell>
        </row>
        <row r="101">
          <cell r="B101" t="str">
            <v>:7640</v>
          </cell>
          <cell r="C101" t="str">
            <v>Nh©n c«ng 4,0/7</v>
          </cell>
          <cell r="D101" t="str">
            <v>c«ng</v>
          </cell>
          <cell r="E101" t="e">
            <v>#REF!</v>
          </cell>
          <cell r="F101">
            <v>45944</v>
          </cell>
          <cell r="G101">
            <v>45944</v>
          </cell>
        </row>
        <row r="102">
          <cell r="B102" t="str">
            <v>:7645</v>
          </cell>
          <cell r="C102" t="str">
            <v>Nh©n c«ng 4,5/7</v>
          </cell>
          <cell r="D102" t="str">
            <v>c«ng</v>
          </cell>
          <cell r="E102" t="e">
            <v>#REF!</v>
          </cell>
          <cell r="F102">
            <v>49845</v>
          </cell>
          <cell r="G102">
            <v>49845</v>
          </cell>
        </row>
        <row r="103">
          <cell r="B103" t="str">
            <v>:7735</v>
          </cell>
          <cell r="C103" t="str">
            <v>Nh©n c«ng 3,5/7</v>
          </cell>
          <cell r="D103" t="str">
            <v>c«ng</v>
          </cell>
          <cell r="E103" t="e">
            <v>#REF!</v>
          </cell>
          <cell r="F103">
            <v>45266</v>
          </cell>
          <cell r="G103">
            <v>45266</v>
          </cell>
        </row>
        <row r="104">
          <cell r="C104" t="str">
            <v>M¸y thi c«ng</v>
          </cell>
        </row>
        <row r="105">
          <cell r="B105" t="str">
            <v>:8529</v>
          </cell>
          <cell r="C105" t="str">
            <v>CÇn cÈu « t« 10T</v>
          </cell>
          <cell r="D105" t="str">
            <v>ca</v>
          </cell>
          <cell r="E105" t="e">
            <v>#REF!</v>
          </cell>
          <cell r="F105">
            <v>1109410</v>
          </cell>
          <cell r="G105">
            <v>1109410</v>
          </cell>
        </row>
        <row r="106">
          <cell r="B106" t="str">
            <v>:8539</v>
          </cell>
          <cell r="C106" t="str">
            <v>CÇn cÈu th¸p 25T</v>
          </cell>
          <cell r="D106" t="str">
            <v>ca</v>
          </cell>
          <cell r="E106" t="e">
            <v>#REF!</v>
          </cell>
          <cell r="F106">
            <v>2462323</v>
          </cell>
          <cell r="G106">
            <v>2462323</v>
          </cell>
        </row>
        <row r="107">
          <cell r="B107" t="str">
            <v>:8587</v>
          </cell>
          <cell r="C107" t="str">
            <v>M¸y ®Çm dïi 1,5KW</v>
          </cell>
          <cell r="D107" t="str">
            <v>ca</v>
          </cell>
          <cell r="E107" t="e">
            <v>#REF!</v>
          </cell>
          <cell r="F107">
            <v>54629</v>
          </cell>
          <cell r="G107">
            <v>54629</v>
          </cell>
        </row>
        <row r="108">
          <cell r="B108" t="str">
            <v>:8611</v>
          </cell>
          <cell r="C108" t="str">
            <v>M¸y c¾t g¹ch ®¸ 1,7KW</v>
          </cell>
          <cell r="D108" t="str">
            <v>ca</v>
          </cell>
          <cell r="E108" t="e">
            <v>#REF!</v>
          </cell>
          <cell r="F108">
            <v>55921</v>
          </cell>
          <cell r="G108">
            <v>55921</v>
          </cell>
        </row>
        <row r="109">
          <cell r="B109" t="str">
            <v>:8616</v>
          </cell>
          <cell r="C109" t="str">
            <v>M¸y c¾t uèn c¾t s¾t 5KW</v>
          </cell>
          <cell r="D109" t="str">
            <v>ca</v>
          </cell>
          <cell r="E109" t="e">
            <v>#REF!</v>
          </cell>
          <cell r="F109">
            <v>64623</v>
          </cell>
          <cell r="G109">
            <v>64623</v>
          </cell>
        </row>
        <row r="110">
          <cell r="B110" t="str">
            <v>:8621</v>
          </cell>
          <cell r="C110" t="str">
            <v>M¸y mµi 2,7KW</v>
          </cell>
          <cell r="D110" t="str">
            <v>ca</v>
          </cell>
          <cell r="E110" t="e">
            <v>#REF!</v>
          </cell>
          <cell r="F110">
            <v>51907</v>
          </cell>
          <cell r="G110">
            <v>51907</v>
          </cell>
        </row>
        <row r="111">
          <cell r="B111" t="str">
            <v>:8631</v>
          </cell>
          <cell r="C111" t="str">
            <v>M¸y hµn 23KW</v>
          </cell>
          <cell r="D111" t="str">
            <v>ca</v>
          </cell>
          <cell r="E111" t="e">
            <v>#REF!</v>
          </cell>
          <cell r="F111">
            <v>119650</v>
          </cell>
          <cell r="G111">
            <v>119650</v>
          </cell>
        </row>
        <row r="112">
          <cell r="B112" t="str">
            <v>:8684</v>
          </cell>
          <cell r="C112" t="str">
            <v>M¸y trén v÷a 80L</v>
          </cell>
          <cell r="D112" t="str">
            <v>ca</v>
          </cell>
          <cell r="E112" t="e">
            <v>#REF!</v>
          </cell>
          <cell r="F112">
            <v>59104</v>
          </cell>
          <cell r="G112">
            <v>59104</v>
          </cell>
        </row>
        <row r="113">
          <cell r="B113" t="str">
            <v>:8685</v>
          </cell>
          <cell r="C113" t="str">
            <v>M¸y trén BT 250L</v>
          </cell>
          <cell r="D113" t="str">
            <v>ca</v>
          </cell>
          <cell r="E113" t="e">
            <v>#REF!</v>
          </cell>
          <cell r="F113">
            <v>82093</v>
          </cell>
          <cell r="G113">
            <v>82093</v>
          </cell>
        </row>
        <row r="114">
          <cell r="B114" t="str">
            <v>:8687</v>
          </cell>
          <cell r="C114" t="str">
            <v>M¸y vËn th¨ng 0,8T</v>
          </cell>
          <cell r="D114" t="str">
            <v>ca</v>
          </cell>
          <cell r="E114" t="e">
            <v>#REF!</v>
          </cell>
          <cell r="F114">
            <v>139329</v>
          </cell>
          <cell r="G114">
            <v>139329</v>
          </cell>
        </row>
        <row r="115">
          <cell r="B115" t="str">
            <v>:8689</v>
          </cell>
          <cell r="C115" t="str">
            <v>M¸y vËn th¨ng lång 3T</v>
          </cell>
          <cell r="D115" t="str">
            <v>ca</v>
          </cell>
          <cell r="E115" t="e">
            <v>#REF!</v>
          </cell>
          <cell r="F115">
            <v>151188</v>
          </cell>
          <cell r="G115">
            <v>151188</v>
          </cell>
        </row>
        <row r="116">
          <cell r="B116" t="str">
            <v>:9013</v>
          </cell>
          <cell r="C116" t="str">
            <v>M¸y hµn 23 kW</v>
          </cell>
          <cell r="D116" t="str">
            <v>ca</v>
          </cell>
          <cell r="E116" t="e">
            <v>#REF!</v>
          </cell>
          <cell r="F116">
            <v>119650</v>
          </cell>
          <cell r="G116">
            <v>119650</v>
          </cell>
        </row>
        <row r="117">
          <cell r="B117" t="str">
            <v>:9018</v>
          </cell>
          <cell r="C117" t="str">
            <v>M¸y khoan BT cÇm tay 0,5KW</v>
          </cell>
          <cell r="D117" t="str">
            <v>ca</v>
          </cell>
          <cell r="E117" t="e">
            <v>#REF!</v>
          </cell>
          <cell r="F117">
            <v>47021</v>
          </cell>
          <cell r="G117">
            <v>47021</v>
          </cell>
        </row>
        <row r="118">
          <cell r="C118" t="str">
            <v>Tæng céng</v>
          </cell>
        </row>
      </sheetData>
      <sheetData sheetId="5">
        <row r="7">
          <cell r="D7" t="str">
            <v>:8510</v>
          </cell>
        </row>
        <row r="9">
          <cell r="D9" t="str">
            <v>NL0001</v>
          </cell>
        </row>
        <row r="11">
          <cell r="D11" t="str">
            <v>LX1503</v>
          </cell>
        </row>
        <row r="12">
          <cell r="D12" t="str">
            <v>:8511</v>
          </cell>
        </row>
        <row r="14">
          <cell r="D14" t="str">
            <v>NL0002</v>
          </cell>
        </row>
        <row r="16">
          <cell r="D16" t="str">
            <v>LX1203</v>
          </cell>
        </row>
        <row r="17">
          <cell r="D17" t="str">
            <v>:8501</v>
          </cell>
        </row>
        <row r="19">
          <cell r="D19" t="str">
            <v>NL0001</v>
          </cell>
        </row>
        <row r="21">
          <cell r="D21" t="str">
            <v>LX1103</v>
          </cell>
        </row>
        <row r="22">
          <cell r="D22" t="str">
            <v>:8501</v>
          </cell>
        </row>
        <row r="24">
          <cell r="D24" t="str">
            <v>NL0001</v>
          </cell>
        </row>
        <row r="26">
          <cell r="D26" t="str">
            <v>LX1103</v>
          </cell>
        </row>
        <row r="27">
          <cell r="D27" t="str">
            <v>:8502</v>
          </cell>
        </row>
        <row r="29">
          <cell r="D29" t="str">
            <v>NL0002</v>
          </cell>
        </row>
        <row r="31">
          <cell r="D31" t="str">
            <v>LX1203</v>
          </cell>
        </row>
        <row r="32">
          <cell r="D32" t="str">
            <v>:8515</v>
          </cell>
        </row>
        <row r="34">
          <cell r="D34" t="str">
            <v>NL0002</v>
          </cell>
        </row>
        <row r="36">
          <cell r="D36" t="str">
            <v>LX1401</v>
          </cell>
        </row>
        <row r="37">
          <cell r="D37" t="str">
            <v>LX1403</v>
          </cell>
        </row>
        <row r="38">
          <cell r="D38" t="str">
            <v>:8516</v>
          </cell>
        </row>
        <row r="40">
          <cell r="D40" t="str">
            <v>NL0002</v>
          </cell>
        </row>
        <row r="42">
          <cell r="D42" t="str">
            <v>LX1501</v>
          </cell>
        </row>
        <row r="43">
          <cell r="D43" t="str">
            <v>LX1503</v>
          </cell>
        </row>
        <row r="44">
          <cell r="D44" t="str">
            <v>:8514</v>
          </cell>
        </row>
        <row r="46">
          <cell r="D46" t="str">
            <v>NL0002</v>
          </cell>
        </row>
        <row r="48">
          <cell r="D48" t="str">
            <v>LX1301</v>
          </cell>
        </row>
        <row r="49">
          <cell r="D49" t="str">
            <v>LX1303</v>
          </cell>
        </row>
        <row r="50">
          <cell r="D50" t="str">
            <v>:8953</v>
          </cell>
        </row>
        <row r="52">
          <cell r="D52" t="str">
            <v>NL0002</v>
          </cell>
        </row>
        <row r="54">
          <cell r="D54" t="str">
            <v>LX1301</v>
          </cell>
        </row>
        <row r="55">
          <cell r="D55" t="str">
            <v>LX1303</v>
          </cell>
        </row>
        <row r="56">
          <cell r="D56" t="str">
            <v>:8512</v>
          </cell>
        </row>
        <row r="58">
          <cell r="D58" t="str">
            <v>NL0002</v>
          </cell>
        </row>
        <row r="60">
          <cell r="D60" t="str">
            <v>LX1203</v>
          </cell>
        </row>
        <row r="61">
          <cell r="D61" t="str">
            <v>:8513</v>
          </cell>
        </row>
        <row r="63">
          <cell r="D63" t="str">
            <v>NL0002</v>
          </cell>
        </row>
        <row r="65">
          <cell r="D65" t="str">
            <v>LX1303</v>
          </cell>
        </row>
        <row r="66">
          <cell r="D66" t="str">
            <v>:8506</v>
          </cell>
        </row>
        <row r="68">
          <cell r="D68" t="str">
            <v>NL0002</v>
          </cell>
        </row>
        <row r="70">
          <cell r="D70" t="str">
            <v>LX1302</v>
          </cell>
        </row>
        <row r="71">
          <cell r="D71" t="str">
            <v>:8507</v>
          </cell>
        </row>
        <row r="73">
          <cell r="D73" t="str">
            <v>NL0002</v>
          </cell>
        </row>
        <row r="75">
          <cell r="D75" t="str">
            <v>LX1303</v>
          </cell>
        </row>
        <row r="76">
          <cell r="D76" t="str">
            <v>:8508</v>
          </cell>
        </row>
        <row r="78">
          <cell r="D78" t="str">
            <v>NL0002</v>
          </cell>
        </row>
        <row r="80">
          <cell r="D80" t="str">
            <v>LX1403</v>
          </cell>
        </row>
        <row r="81">
          <cell r="D81" t="str">
            <v>:8509</v>
          </cell>
        </row>
        <row r="83">
          <cell r="D83" t="str">
            <v>NL0002</v>
          </cell>
        </row>
        <row r="85">
          <cell r="D85" t="str">
            <v>LX1403</v>
          </cell>
        </row>
        <row r="86">
          <cell r="D86" t="str">
            <v>:8504</v>
          </cell>
        </row>
        <row r="88">
          <cell r="D88" t="str">
            <v>NL0002</v>
          </cell>
        </row>
        <row r="90">
          <cell r="D90" t="str">
            <v>LX1202</v>
          </cell>
        </row>
        <row r="91">
          <cell r="D91" t="str">
            <v>:8505</v>
          </cell>
        </row>
        <row r="93">
          <cell r="D93" t="str">
            <v>NL0002</v>
          </cell>
        </row>
        <row r="95">
          <cell r="D95" t="str">
            <v>LX1203</v>
          </cell>
        </row>
        <row r="96">
          <cell r="D96" t="str">
            <v>:8586</v>
          </cell>
        </row>
        <row r="98">
          <cell r="D98" t="str">
            <v>NL0003</v>
          </cell>
        </row>
        <row r="100">
          <cell r="D100" t="str">
            <v>LM1103</v>
          </cell>
        </row>
        <row r="101">
          <cell r="D101" t="str">
            <v>:8585</v>
          </cell>
        </row>
        <row r="103">
          <cell r="D103" t="str">
            <v>NL0001</v>
          </cell>
        </row>
        <row r="105">
          <cell r="D105" t="str">
            <v>LM1103</v>
          </cell>
        </row>
        <row r="106">
          <cell r="D106" t="str">
            <v>:8587</v>
          </cell>
        </row>
        <row r="108">
          <cell r="D108" t="str">
            <v>NL0003</v>
          </cell>
        </row>
        <row r="110">
          <cell r="D110" t="str">
            <v>LM1103</v>
          </cell>
        </row>
        <row r="111">
          <cell r="D111" t="str">
            <v>:8588</v>
          </cell>
        </row>
        <row r="113">
          <cell r="D113" t="str">
            <v>NL0003</v>
          </cell>
        </row>
        <row r="115">
          <cell r="D115" t="str">
            <v>LM1103</v>
          </cell>
        </row>
        <row r="116">
          <cell r="D116" t="str">
            <v>:8583</v>
          </cell>
        </row>
        <row r="118">
          <cell r="D118" t="str">
            <v>NL0002</v>
          </cell>
        </row>
        <row r="120">
          <cell r="D120" t="str">
            <v>LM1104</v>
          </cell>
        </row>
        <row r="121">
          <cell r="D121" t="str">
            <v>:8582</v>
          </cell>
        </row>
        <row r="123">
          <cell r="D123" t="str">
            <v>NL0002</v>
          </cell>
        </row>
        <row r="125">
          <cell r="D125" t="str">
            <v>LM1104</v>
          </cell>
        </row>
        <row r="126">
          <cell r="D126" t="str">
            <v>:8517</v>
          </cell>
        </row>
        <row r="128">
          <cell r="D128" t="str">
            <v>NL0002</v>
          </cell>
        </row>
        <row r="130">
          <cell r="D130" t="str">
            <v>LM1104</v>
          </cell>
        </row>
        <row r="131">
          <cell r="D131" t="str">
            <v>LM1105</v>
          </cell>
        </row>
        <row r="132">
          <cell r="D132" t="str">
            <v>:8551</v>
          </cell>
        </row>
        <row r="134">
          <cell r="D134" t="str">
            <v>LM1104</v>
          </cell>
        </row>
        <row r="135">
          <cell r="D135" t="str">
            <v>:8553</v>
          </cell>
        </row>
        <row r="137">
          <cell r="D137" t="str">
            <v>LM1104</v>
          </cell>
        </row>
        <row r="138">
          <cell r="D138" t="str">
            <v>:8554</v>
          </cell>
        </row>
        <row r="140">
          <cell r="D140" t="str">
            <v>LM1104</v>
          </cell>
        </row>
        <row r="141">
          <cell r="D141" t="str">
            <v>:8518</v>
          </cell>
        </row>
        <row r="143">
          <cell r="D143" t="str">
            <v>NL0003</v>
          </cell>
        </row>
        <row r="145">
          <cell r="D145" t="str">
            <v>LM1104</v>
          </cell>
        </row>
        <row r="146">
          <cell r="D146" t="str">
            <v>LM1105</v>
          </cell>
        </row>
        <row r="147">
          <cell r="D147" t="str">
            <v>LM1107</v>
          </cell>
        </row>
        <row r="148">
          <cell r="D148" t="str">
            <v>:8519</v>
          </cell>
        </row>
        <row r="150">
          <cell r="D150" t="str">
            <v>LM1104</v>
          </cell>
        </row>
        <row r="151">
          <cell r="D151" t="str">
            <v>:8520</v>
          </cell>
        </row>
        <row r="153">
          <cell r="D153" t="str">
            <v>NL0003</v>
          </cell>
        </row>
        <row r="155">
          <cell r="D155" t="str">
            <v>LM1103</v>
          </cell>
        </row>
        <row r="156">
          <cell r="D156" t="str">
            <v>LM1104</v>
          </cell>
        </row>
        <row r="157">
          <cell r="D157" t="str">
            <v>:8521</v>
          </cell>
        </row>
        <row r="159">
          <cell r="D159" t="str">
            <v>NL0003</v>
          </cell>
        </row>
        <row r="161">
          <cell r="D161" t="str">
            <v>LM1103</v>
          </cell>
        </row>
        <row r="162">
          <cell r="D162" t="str">
            <v>LM1104</v>
          </cell>
        </row>
        <row r="163">
          <cell r="D163" t="str">
            <v>:8527</v>
          </cell>
        </row>
        <row r="165">
          <cell r="D165" t="str">
            <v>NL0002</v>
          </cell>
        </row>
        <row r="167">
          <cell r="D167" t="str">
            <v>LT1121</v>
          </cell>
        </row>
        <row r="168">
          <cell r="D168" t="str">
            <v>LT1221</v>
          </cell>
        </row>
        <row r="169">
          <cell r="D169" t="str">
            <v>LT2122</v>
          </cell>
        </row>
        <row r="170">
          <cell r="D170" t="str">
            <v>:8523</v>
          </cell>
        </row>
        <row r="172">
          <cell r="D172" t="str">
            <v>NL0002</v>
          </cell>
        </row>
        <row r="174">
          <cell r="D174" t="str">
            <v>LT1121</v>
          </cell>
        </row>
        <row r="175">
          <cell r="D175" t="str">
            <v>:8524</v>
          </cell>
        </row>
        <row r="177">
          <cell r="D177" t="str">
            <v>NL0002</v>
          </cell>
        </row>
        <row r="179">
          <cell r="D179" t="str">
            <v>LT1121</v>
          </cell>
        </row>
        <row r="180">
          <cell r="D180" t="str">
            <v>:8525</v>
          </cell>
        </row>
        <row r="182">
          <cell r="D182" t="str">
            <v>NL0002</v>
          </cell>
        </row>
        <row r="184">
          <cell r="D184" t="str">
            <v>LT1121</v>
          </cell>
        </row>
        <row r="185">
          <cell r="D185" t="str">
            <v>LT2122</v>
          </cell>
        </row>
        <row r="186">
          <cell r="D186" t="str">
            <v>:8526</v>
          </cell>
        </row>
        <row r="188">
          <cell r="D188" t="str">
            <v>NL0002</v>
          </cell>
        </row>
        <row r="190">
          <cell r="D190" t="str">
            <v>LT1121</v>
          </cell>
        </row>
        <row r="191">
          <cell r="D191" t="str">
            <v>LT2122</v>
          </cell>
        </row>
        <row r="192">
          <cell r="D192" t="str">
            <v>:8532</v>
          </cell>
        </row>
        <row r="194">
          <cell r="D194" t="str">
            <v>NL0002</v>
          </cell>
        </row>
        <row r="196">
          <cell r="D196" t="str">
            <v>LM1103</v>
          </cell>
        </row>
        <row r="197">
          <cell r="D197" t="str">
            <v>LM1105</v>
          </cell>
        </row>
        <row r="198">
          <cell r="D198" t="str">
            <v>:8529</v>
          </cell>
        </row>
        <row r="200">
          <cell r="D200" t="str">
            <v>NL0002</v>
          </cell>
        </row>
        <row r="202">
          <cell r="D202" t="str">
            <v>LX1301</v>
          </cell>
        </row>
        <row r="203">
          <cell r="D203" t="str">
            <v>LX1303</v>
          </cell>
        </row>
        <row r="204">
          <cell r="D204" t="str">
            <v>:8528</v>
          </cell>
        </row>
        <row r="206">
          <cell r="D206" t="str">
            <v>NL0002</v>
          </cell>
        </row>
        <row r="208">
          <cell r="D208" t="str">
            <v>LX1201</v>
          </cell>
        </row>
        <row r="209">
          <cell r="D209" t="str">
            <v>LX1203</v>
          </cell>
        </row>
        <row r="210">
          <cell r="D210" t="str">
            <v>:8529</v>
          </cell>
        </row>
        <row r="212">
          <cell r="D212" t="str">
            <v>NL0002</v>
          </cell>
        </row>
        <row r="214">
          <cell r="D214" t="str">
            <v>LM1103</v>
          </cell>
        </row>
        <row r="215">
          <cell r="D215" t="str">
            <v>LM1105</v>
          </cell>
        </row>
        <row r="216">
          <cell r="D216" t="str">
            <v>:8530</v>
          </cell>
        </row>
        <row r="218">
          <cell r="D218" t="str">
            <v>NL0002</v>
          </cell>
        </row>
        <row r="220">
          <cell r="D220" t="str">
            <v>LM1103</v>
          </cell>
        </row>
        <row r="221">
          <cell r="D221" t="str">
            <v>LM1105</v>
          </cell>
        </row>
        <row r="222">
          <cell r="D222" t="str">
            <v>:8531</v>
          </cell>
        </row>
        <row r="224">
          <cell r="D224" t="str">
            <v>NL0002</v>
          </cell>
        </row>
        <row r="226">
          <cell r="D226" t="str">
            <v>LM1104</v>
          </cell>
        </row>
        <row r="227">
          <cell r="D227" t="str">
            <v>LM1106</v>
          </cell>
        </row>
        <row r="228">
          <cell r="D228" t="str">
            <v>:8535</v>
          </cell>
        </row>
        <row r="230">
          <cell r="D230" t="str">
            <v>NL0002</v>
          </cell>
        </row>
        <row r="232">
          <cell r="D232" t="str">
            <v>LM1104</v>
          </cell>
        </row>
        <row r="233">
          <cell r="D233" t="str">
            <v>LM1106</v>
          </cell>
        </row>
        <row r="234">
          <cell r="D234" t="str">
            <v>:8545</v>
          </cell>
        </row>
        <row r="236">
          <cell r="D236" t="str">
            <v>NL0002</v>
          </cell>
        </row>
        <row r="238">
          <cell r="D238" t="str">
            <v>LT1321</v>
          </cell>
        </row>
        <row r="239">
          <cell r="D239" t="str">
            <v>LT2122</v>
          </cell>
        </row>
        <row r="240">
          <cell r="D240" t="str">
            <v>LT2222</v>
          </cell>
        </row>
        <row r="241">
          <cell r="D241" t="str">
            <v>LT2223</v>
          </cell>
        </row>
        <row r="242">
          <cell r="D242" t="str">
            <v>:8544</v>
          </cell>
        </row>
        <row r="244">
          <cell r="D244" t="str">
            <v>NL0003</v>
          </cell>
        </row>
        <row r="246">
          <cell r="D246" t="str">
            <v>LM1103</v>
          </cell>
        </row>
        <row r="247">
          <cell r="D247" t="str">
            <v>LM1106</v>
          </cell>
        </row>
        <row r="248">
          <cell r="D248" t="str">
            <v>:8533</v>
          </cell>
        </row>
        <row r="250">
          <cell r="D250" t="str">
            <v>NL0002</v>
          </cell>
        </row>
        <row r="252">
          <cell r="D252" t="str">
            <v>LM1103</v>
          </cell>
        </row>
        <row r="253">
          <cell r="D253" t="str">
            <v>LM1105</v>
          </cell>
        </row>
        <row r="254">
          <cell r="D254" t="str">
            <v>:8534</v>
          </cell>
        </row>
        <row r="256">
          <cell r="D256" t="str">
            <v>NL0002</v>
          </cell>
        </row>
        <row r="258">
          <cell r="D258" t="str">
            <v>LM1104</v>
          </cell>
        </row>
        <row r="259">
          <cell r="D259" t="str">
            <v>LM1106</v>
          </cell>
        </row>
        <row r="260">
          <cell r="D260" t="str">
            <v>:8537</v>
          </cell>
        </row>
        <row r="262">
          <cell r="D262" t="str">
            <v>NL0002</v>
          </cell>
        </row>
        <row r="264">
          <cell r="D264" t="str">
            <v>LM1104</v>
          </cell>
        </row>
        <row r="265">
          <cell r="D265" t="str">
            <v>LM1106</v>
          </cell>
        </row>
        <row r="266">
          <cell r="D266" t="str">
            <v>:8538</v>
          </cell>
        </row>
        <row r="268">
          <cell r="D268" t="str">
            <v>NL0002</v>
          </cell>
        </row>
        <row r="270">
          <cell r="D270" t="str">
            <v>LM1104</v>
          </cell>
        </row>
        <row r="271">
          <cell r="D271" t="str">
            <v>LM1107</v>
          </cell>
        </row>
        <row r="272">
          <cell r="D272" t="str">
            <v>:8546</v>
          </cell>
        </row>
        <row r="274">
          <cell r="D274" t="str">
            <v>NL0003</v>
          </cell>
        </row>
        <row r="276">
          <cell r="D276" t="str">
            <v>LM1103</v>
          </cell>
        </row>
        <row r="277">
          <cell r="D277" t="str">
            <v>LM1104</v>
          </cell>
        </row>
        <row r="278">
          <cell r="D278" t="str">
            <v>LM1106</v>
          </cell>
        </row>
        <row r="279">
          <cell r="D279" t="str">
            <v>:8547</v>
          </cell>
        </row>
        <row r="281">
          <cell r="D281" t="str">
            <v>NL0003</v>
          </cell>
        </row>
        <row r="283">
          <cell r="D283" t="str">
            <v>LM1103</v>
          </cell>
        </row>
        <row r="284">
          <cell r="D284" t="str">
            <v>LM1106</v>
          </cell>
        </row>
        <row r="285">
          <cell r="D285" t="str">
            <v>:8540</v>
          </cell>
        </row>
        <row r="287">
          <cell r="D287" t="str">
            <v>NL0003</v>
          </cell>
        </row>
        <row r="289">
          <cell r="D289" t="str">
            <v>LM1103</v>
          </cell>
        </row>
        <row r="290">
          <cell r="D290" t="str">
            <v>LM1106</v>
          </cell>
        </row>
        <row r="291">
          <cell r="D291" t="str">
            <v>:8539</v>
          </cell>
        </row>
        <row r="293">
          <cell r="D293" t="str">
            <v>NL0003</v>
          </cell>
        </row>
        <row r="295">
          <cell r="D295" t="str">
            <v>LM1103</v>
          </cell>
        </row>
        <row r="296">
          <cell r="D296" t="str">
            <v>LM1106</v>
          </cell>
        </row>
        <row r="297">
          <cell r="D297" t="str">
            <v>:8541</v>
          </cell>
        </row>
        <row r="299">
          <cell r="D299" t="str">
            <v>NL0003</v>
          </cell>
        </row>
        <row r="301">
          <cell r="D301" t="str">
            <v>LM1103</v>
          </cell>
        </row>
        <row r="302">
          <cell r="D302" t="str">
            <v>LM1106</v>
          </cell>
        </row>
        <row r="303">
          <cell r="D303" t="str">
            <v>:8542</v>
          </cell>
        </row>
        <row r="305">
          <cell r="D305" t="str">
            <v>NL0003</v>
          </cell>
        </row>
        <row r="307">
          <cell r="D307" t="str">
            <v>LM1104</v>
          </cell>
        </row>
        <row r="308">
          <cell r="D308" t="str">
            <v>LM1106</v>
          </cell>
        </row>
        <row r="309">
          <cell r="D309" t="str">
            <v>:8543</v>
          </cell>
        </row>
        <row r="311">
          <cell r="D311" t="str">
            <v>NL0003</v>
          </cell>
        </row>
        <row r="313">
          <cell r="D313" t="str">
            <v>LM1104</v>
          </cell>
        </row>
        <row r="314">
          <cell r="D314" t="str">
            <v>LM1106</v>
          </cell>
        </row>
        <row r="315">
          <cell r="D315" t="str">
            <v>:8549</v>
          </cell>
        </row>
        <row r="317">
          <cell r="D317" t="str">
            <v>NL0002</v>
          </cell>
        </row>
        <row r="319">
          <cell r="D319" t="str">
            <v>LM1103</v>
          </cell>
        </row>
        <row r="320">
          <cell r="D320" t="str">
            <v>LM1105</v>
          </cell>
        </row>
        <row r="321">
          <cell r="D321" t="str">
            <v>:8548</v>
          </cell>
        </row>
        <row r="322">
          <cell r="D322" t="str">
            <v>:8550</v>
          </cell>
        </row>
        <row r="324">
          <cell r="D324" t="str">
            <v>NL0003</v>
          </cell>
        </row>
        <row r="326">
          <cell r="D326" t="str">
            <v>LM1104</v>
          </cell>
        </row>
        <row r="327">
          <cell r="D327" t="str">
            <v>LM1106</v>
          </cell>
        </row>
        <row r="328">
          <cell r="D328" t="str">
            <v>:8555</v>
          </cell>
        </row>
        <row r="330">
          <cell r="D330" t="str">
            <v>LM1104</v>
          </cell>
        </row>
        <row r="331">
          <cell r="D331" t="str">
            <v>:8556</v>
          </cell>
        </row>
        <row r="333">
          <cell r="D333" t="str">
            <v>LM1104</v>
          </cell>
        </row>
        <row r="335">
          <cell r="D335" t="str">
            <v>LM1104</v>
          </cell>
        </row>
        <row r="336">
          <cell r="D336" t="str">
            <v>:8552</v>
          </cell>
        </row>
        <row r="338">
          <cell r="D338" t="str">
            <v>LM1104</v>
          </cell>
        </row>
        <row r="339">
          <cell r="D339" t="str">
            <v>:8557</v>
          </cell>
        </row>
        <row r="341">
          <cell r="D341" t="str">
            <v>LM1104</v>
          </cell>
        </row>
        <row r="342">
          <cell r="D342" t="str">
            <v>:8558</v>
          </cell>
        </row>
        <row r="344">
          <cell r="D344" t="str">
            <v>NL0002</v>
          </cell>
        </row>
        <row r="346">
          <cell r="D346" t="str">
            <v>LM1104</v>
          </cell>
        </row>
        <row r="347">
          <cell r="D347" t="str">
            <v>:8559</v>
          </cell>
        </row>
        <row r="349">
          <cell r="D349" t="str">
            <v>NL0002</v>
          </cell>
        </row>
        <row r="351">
          <cell r="D351" t="str">
            <v>LM1104</v>
          </cell>
        </row>
        <row r="352">
          <cell r="D352" t="str">
            <v>:8564</v>
          </cell>
        </row>
        <row r="354">
          <cell r="D354" t="str">
            <v>NL0002</v>
          </cell>
        </row>
        <row r="356">
          <cell r="D356" t="str">
            <v>LM1104</v>
          </cell>
        </row>
        <row r="357">
          <cell r="D357" t="str">
            <v>LM1106</v>
          </cell>
        </row>
        <row r="358">
          <cell r="D358" t="str">
            <v>:8565</v>
          </cell>
        </row>
        <row r="360">
          <cell r="D360" t="str">
            <v>NL0002</v>
          </cell>
        </row>
        <row r="362">
          <cell r="D362" t="str">
            <v>LM1104</v>
          </cell>
        </row>
        <row r="363">
          <cell r="D363" t="str">
            <v>LM1107</v>
          </cell>
        </row>
        <row r="364">
          <cell r="D364" t="str">
            <v>:8566</v>
          </cell>
        </row>
        <row r="366">
          <cell r="D366" t="str">
            <v>NL0002</v>
          </cell>
        </row>
        <row r="368">
          <cell r="D368" t="str">
            <v>LM1104</v>
          </cell>
        </row>
        <row r="369">
          <cell r="D369" t="str">
            <v>LM1107</v>
          </cell>
        </row>
        <row r="370">
          <cell r="D370" t="str">
            <v>:8560</v>
          </cell>
        </row>
        <row r="372">
          <cell r="D372" t="str">
            <v>NL0002</v>
          </cell>
        </row>
        <row r="374">
          <cell r="D374" t="str">
            <v>LM1104</v>
          </cell>
        </row>
        <row r="375">
          <cell r="D375" t="str">
            <v>:8561</v>
          </cell>
        </row>
        <row r="377">
          <cell r="D377" t="str">
            <v>NL0002</v>
          </cell>
        </row>
        <row r="379">
          <cell r="D379" t="str">
            <v>LM1104</v>
          </cell>
        </row>
        <row r="380">
          <cell r="D380" t="str">
            <v>:8561a</v>
          </cell>
        </row>
        <row r="382">
          <cell r="D382" t="str">
            <v>NL0002</v>
          </cell>
        </row>
        <row r="384">
          <cell r="D384" t="str">
            <v>LM1103</v>
          </cell>
        </row>
        <row r="385">
          <cell r="D385" t="str">
            <v>LM1105</v>
          </cell>
        </row>
        <row r="386">
          <cell r="D386" t="str">
            <v>:8562</v>
          </cell>
        </row>
        <row r="388">
          <cell r="D388" t="str">
            <v>NL0002</v>
          </cell>
        </row>
        <row r="390">
          <cell r="D390" t="str">
            <v>LM1103</v>
          </cell>
        </row>
        <row r="391">
          <cell r="D391" t="str">
            <v>LM1105</v>
          </cell>
        </row>
        <row r="392">
          <cell r="D392" t="str">
            <v>:8563</v>
          </cell>
        </row>
        <row r="394">
          <cell r="D394" t="str">
            <v>NL0002</v>
          </cell>
        </row>
        <row r="396">
          <cell r="D396" t="str">
            <v>LM1104</v>
          </cell>
        </row>
        <row r="397">
          <cell r="D397" t="str">
            <v>LM1106</v>
          </cell>
        </row>
        <row r="398">
          <cell r="D398" t="str">
            <v>:8567</v>
          </cell>
        </row>
        <row r="400">
          <cell r="D400" t="str">
            <v>NL0002</v>
          </cell>
        </row>
        <row r="402">
          <cell r="D402" t="str">
            <v>LM1103</v>
          </cell>
        </row>
        <row r="403">
          <cell r="D403" t="str">
            <v>LM1105</v>
          </cell>
        </row>
        <row r="404">
          <cell r="D404" t="str">
            <v>:8568</v>
          </cell>
        </row>
        <row r="406">
          <cell r="D406" t="str">
            <v>NL0002</v>
          </cell>
        </row>
        <row r="408">
          <cell r="D408" t="str">
            <v>LM1103</v>
          </cell>
        </row>
        <row r="409">
          <cell r="D409" t="str">
            <v>LM1105</v>
          </cell>
        </row>
        <row r="410">
          <cell r="D410" t="str">
            <v>:8569</v>
          </cell>
        </row>
        <row r="412">
          <cell r="D412" t="str">
            <v>NL0002</v>
          </cell>
        </row>
        <row r="414">
          <cell r="D414" t="str">
            <v>LM1104</v>
          </cell>
        </row>
        <row r="415">
          <cell r="D415" t="str">
            <v>LM1106</v>
          </cell>
        </row>
        <row r="416">
          <cell r="D416" t="str">
            <v>:8570</v>
          </cell>
        </row>
        <row r="418">
          <cell r="D418" t="str">
            <v>NL0002</v>
          </cell>
        </row>
        <row r="420">
          <cell r="D420" t="str">
            <v>LM1104</v>
          </cell>
        </row>
        <row r="421">
          <cell r="D421" t="str">
            <v>LM1107</v>
          </cell>
        </row>
        <row r="422">
          <cell r="D422" t="str">
            <v>:8571</v>
          </cell>
        </row>
        <row r="424">
          <cell r="D424" t="str">
            <v>NL0002</v>
          </cell>
        </row>
        <row r="426">
          <cell r="D426" t="str">
            <v>LM1104</v>
          </cell>
        </row>
        <row r="427">
          <cell r="D427" t="str">
            <v>LM1107</v>
          </cell>
        </row>
        <row r="428">
          <cell r="D428" t="str">
            <v>:8569</v>
          </cell>
        </row>
        <row r="430">
          <cell r="D430" t="str">
            <v>NL0002</v>
          </cell>
        </row>
        <row r="432">
          <cell r="D432" t="str">
            <v>LM1104</v>
          </cell>
        </row>
        <row r="433">
          <cell r="D433" t="str">
            <v>LM1106</v>
          </cell>
        </row>
        <row r="434">
          <cell r="D434" t="str">
            <v>:8572</v>
          </cell>
        </row>
        <row r="436">
          <cell r="D436" t="str">
            <v>NL0002</v>
          </cell>
        </row>
        <row r="437">
          <cell r="D437" t="str">
            <v>NL0003</v>
          </cell>
        </row>
        <row r="439">
          <cell r="D439" t="str">
            <v>LM1103</v>
          </cell>
        </row>
        <row r="440">
          <cell r="D440" t="str">
            <v>LM1104</v>
          </cell>
        </row>
        <row r="441">
          <cell r="D441" t="str">
            <v>LM1105</v>
          </cell>
        </row>
        <row r="442">
          <cell r="D442" t="str">
            <v>:8573</v>
          </cell>
        </row>
        <row r="444">
          <cell r="D444" t="str">
            <v>NL0002</v>
          </cell>
        </row>
        <row r="445">
          <cell r="D445" t="str">
            <v>NL0003</v>
          </cell>
        </row>
        <row r="447">
          <cell r="D447" t="str">
            <v>LM1103</v>
          </cell>
        </row>
        <row r="448">
          <cell r="D448" t="str">
            <v>LM1104</v>
          </cell>
        </row>
        <row r="449">
          <cell r="D449" t="str">
            <v>LM1105</v>
          </cell>
        </row>
        <row r="450">
          <cell r="D450" t="str">
            <v>:8574</v>
          </cell>
        </row>
        <row r="452">
          <cell r="D452" t="str">
            <v>NL0002</v>
          </cell>
        </row>
        <row r="453">
          <cell r="D453" t="str">
            <v>NL0003</v>
          </cell>
        </row>
        <row r="455">
          <cell r="D455" t="str">
            <v>LM1103</v>
          </cell>
        </row>
        <row r="456">
          <cell r="D456" t="str">
            <v>LM1104</v>
          </cell>
        </row>
        <row r="457">
          <cell r="D457" t="str">
            <v>LM1106</v>
          </cell>
        </row>
        <row r="458">
          <cell r="D458" t="str">
            <v>:8575</v>
          </cell>
        </row>
        <row r="460">
          <cell r="D460" t="str">
            <v>NL0002</v>
          </cell>
        </row>
        <row r="461">
          <cell r="D461" t="str">
            <v>NL0003</v>
          </cell>
        </row>
        <row r="463">
          <cell r="D463" t="str">
            <v>LM1103</v>
          </cell>
        </row>
        <row r="464">
          <cell r="D464" t="str">
            <v>LM1104</v>
          </cell>
        </row>
        <row r="465">
          <cell r="D465" t="str">
            <v>LM1106</v>
          </cell>
        </row>
        <row r="466">
          <cell r="D466" t="str">
            <v>:8577</v>
          </cell>
        </row>
        <row r="468">
          <cell r="D468" t="str">
            <v>NL0002</v>
          </cell>
        </row>
        <row r="470">
          <cell r="D470" t="str">
            <v>LM1105</v>
          </cell>
        </row>
        <row r="471">
          <cell r="D471" t="str">
            <v>:C24.0085</v>
          </cell>
        </row>
        <row r="473">
          <cell r="D473" t="str">
            <v>NL0002</v>
          </cell>
        </row>
        <row r="475">
          <cell r="D475" t="str">
            <v>LM1105</v>
          </cell>
        </row>
        <row r="476">
          <cell r="D476" t="str">
            <v>:8578</v>
          </cell>
        </row>
        <row r="478">
          <cell r="D478" t="str">
            <v>NL0002</v>
          </cell>
        </row>
        <row r="480">
          <cell r="D480" t="str">
            <v>LM1105</v>
          </cell>
        </row>
        <row r="481">
          <cell r="D481" t="str">
            <v>:8576</v>
          </cell>
        </row>
        <row r="483">
          <cell r="D483" t="str">
            <v>NL0002</v>
          </cell>
        </row>
        <row r="485">
          <cell r="D485" t="str">
            <v>LM1105</v>
          </cell>
        </row>
        <row r="486">
          <cell r="D486" t="str">
            <v>:8589</v>
          </cell>
        </row>
        <row r="488">
          <cell r="D488" t="str">
            <v>NL0003</v>
          </cell>
        </row>
        <row r="490">
          <cell r="D490" t="str">
            <v>LM1103</v>
          </cell>
        </row>
        <row r="491">
          <cell r="D491" t="str">
            <v>:8590</v>
          </cell>
        </row>
        <row r="493">
          <cell r="D493" t="str">
            <v>NL0003</v>
          </cell>
        </row>
        <row r="495">
          <cell r="D495" t="str">
            <v>LM1103</v>
          </cell>
        </row>
        <row r="496">
          <cell r="D496" t="str">
            <v>:8599</v>
          </cell>
        </row>
        <row r="498">
          <cell r="D498" t="str">
            <v>NL0003</v>
          </cell>
        </row>
        <row r="500">
          <cell r="D500" t="str">
            <v>LM1103</v>
          </cell>
        </row>
        <row r="501">
          <cell r="D501" t="str">
            <v>LM1104</v>
          </cell>
        </row>
        <row r="502">
          <cell r="D502" t="str">
            <v>:8601</v>
          </cell>
        </row>
        <row r="504">
          <cell r="D504" t="str">
            <v>NL0003</v>
          </cell>
        </row>
        <row r="506">
          <cell r="D506" t="str">
            <v>LX1401</v>
          </cell>
        </row>
        <row r="507">
          <cell r="D507" t="str">
            <v>LX1403</v>
          </cell>
        </row>
        <row r="508">
          <cell r="D508" t="str">
            <v>:8600</v>
          </cell>
        </row>
        <row r="510">
          <cell r="D510" t="str">
            <v>NL0002</v>
          </cell>
        </row>
        <row r="512">
          <cell r="D512" t="str">
            <v>LX1401</v>
          </cell>
        </row>
        <row r="513">
          <cell r="D513" t="str">
            <v>LX1403</v>
          </cell>
        </row>
        <row r="514">
          <cell r="D514" t="str">
            <v>:8591</v>
          </cell>
        </row>
        <row r="516">
          <cell r="D516" t="str">
            <v>NL0002</v>
          </cell>
        </row>
        <row r="518">
          <cell r="D518" t="str">
            <v>LM1104</v>
          </cell>
        </row>
        <row r="519">
          <cell r="D519" t="str">
            <v>:8593</v>
          </cell>
        </row>
        <row r="521">
          <cell r="D521" t="str">
            <v>NL0003</v>
          </cell>
        </row>
        <row r="523">
          <cell r="D523" t="str">
            <v>LM1104</v>
          </cell>
        </row>
        <row r="524">
          <cell r="D524" t="str">
            <v>:8592</v>
          </cell>
        </row>
        <row r="526">
          <cell r="D526" t="str">
            <v>NL0002</v>
          </cell>
        </row>
        <row r="528">
          <cell r="D528" t="str">
            <v>LM1104</v>
          </cell>
        </row>
        <row r="529">
          <cell r="D529" t="str">
            <v>:8594</v>
          </cell>
        </row>
        <row r="531">
          <cell r="D531" t="str">
            <v>NL0003</v>
          </cell>
        </row>
        <row r="533">
          <cell r="D533" t="str">
            <v>LM1103</v>
          </cell>
        </row>
        <row r="534">
          <cell r="D534" t="str">
            <v>:8595</v>
          </cell>
        </row>
        <row r="536">
          <cell r="D536" t="str">
            <v>NL0003</v>
          </cell>
        </row>
        <row r="538">
          <cell r="D538" t="str">
            <v>LM1104</v>
          </cell>
        </row>
        <row r="539">
          <cell r="D539" t="str">
            <v>:8596</v>
          </cell>
        </row>
        <row r="541">
          <cell r="D541" t="str">
            <v>NL0003</v>
          </cell>
        </row>
        <row r="543">
          <cell r="D543" t="str">
            <v>LM1104</v>
          </cell>
        </row>
        <row r="544">
          <cell r="D544" t="str">
            <v>:8596a</v>
          </cell>
        </row>
        <row r="546">
          <cell r="D546" t="str">
            <v>NL0003</v>
          </cell>
        </row>
        <row r="548">
          <cell r="D548" t="str">
            <v>LM1104</v>
          </cell>
        </row>
        <row r="549">
          <cell r="D549" t="str">
            <v>:8597</v>
          </cell>
        </row>
        <row r="551">
          <cell r="D551" t="str">
            <v>NL0003</v>
          </cell>
        </row>
        <row r="553">
          <cell r="D553" t="str">
            <v>LM1104</v>
          </cell>
        </row>
        <row r="554">
          <cell r="D554" t="str">
            <v>:8599</v>
          </cell>
        </row>
        <row r="556">
          <cell r="D556" t="str">
            <v>NL0003</v>
          </cell>
        </row>
        <row r="558">
          <cell r="D558" t="str">
            <v>LM1104</v>
          </cell>
        </row>
        <row r="559">
          <cell r="D559" t="str">
            <v>:8598</v>
          </cell>
        </row>
        <row r="561">
          <cell r="D561" t="str">
            <v>NL0003</v>
          </cell>
        </row>
        <row r="563">
          <cell r="D563" t="str">
            <v>LM1104</v>
          </cell>
        </row>
        <row r="564">
          <cell r="D564" t="str">
            <v>:8602</v>
          </cell>
        </row>
        <row r="566">
          <cell r="D566" t="str">
            <v>NL0003</v>
          </cell>
        </row>
        <row r="568">
          <cell r="D568" t="str">
            <v>LM1103</v>
          </cell>
        </row>
        <row r="569">
          <cell r="D569" t="str">
            <v>:8522</v>
          </cell>
        </row>
        <row r="571">
          <cell r="D571" t="str">
            <v>NL0002</v>
          </cell>
        </row>
        <row r="573">
          <cell r="D573" t="str">
            <v>LM1103</v>
          </cell>
        </row>
        <row r="574">
          <cell r="D574" t="str">
            <v>LM1105</v>
          </cell>
        </row>
        <row r="575">
          <cell r="D575" t="str">
            <v>LM1106</v>
          </cell>
        </row>
        <row r="576">
          <cell r="D576" t="str">
            <v>:8612</v>
          </cell>
        </row>
        <row r="578">
          <cell r="D578" t="str">
            <v>NL0003</v>
          </cell>
        </row>
        <row r="580">
          <cell r="D580" t="str">
            <v>LM1103</v>
          </cell>
        </row>
        <row r="581">
          <cell r="D581" t="str">
            <v>:8604</v>
          </cell>
        </row>
        <row r="583">
          <cell r="D583" t="str">
            <v>NL0002</v>
          </cell>
        </row>
        <row r="585">
          <cell r="D585" t="str">
            <v>LM1103</v>
          </cell>
        </row>
        <row r="586">
          <cell r="D586" t="str">
            <v>LM1105</v>
          </cell>
        </row>
        <row r="587">
          <cell r="D587" t="str">
            <v>:8603</v>
          </cell>
        </row>
        <row r="589">
          <cell r="D589" t="str">
            <v>NL0003</v>
          </cell>
        </row>
        <row r="591">
          <cell r="D591" t="str">
            <v>LM1104</v>
          </cell>
        </row>
        <row r="592">
          <cell r="D592" t="str">
            <v>LM1105</v>
          </cell>
        </row>
        <row r="593">
          <cell r="D593" t="str">
            <v>:8609</v>
          </cell>
        </row>
        <row r="595">
          <cell r="D595" t="str">
            <v>NL0003</v>
          </cell>
        </row>
        <row r="597">
          <cell r="D597" t="str">
            <v>LM1103</v>
          </cell>
        </row>
        <row r="598">
          <cell r="D598" t="str">
            <v>:8611</v>
          </cell>
        </row>
        <row r="600">
          <cell r="D600" t="str">
            <v>NL0003</v>
          </cell>
        </row>
        <row r="602">
          <cell r="D602" t="str">
            <v>LM1103</v>
          </cell>
        </row>
        <row r="603">
          <cell r="D603" t="str">
            <v>:8614</v>
          </cell>
        </row>
        <row r="605">
          <cell r="D605" t="str">
            <v>NL0003</v>
          </cell>
        </row>
        <row r="607">
          <cell r="D607" t="str">
            <v>LM1103</v>
          </cell>
        </row>
        <row r="608">
          <cell r="D608" t="str">
            <v>:8610</v>
          </cell>
        </row>
        <row r="610">
          <cell r="D610" t="str">
            <v>NL0003</v>
          </cell>
        </row>
        <row r="612">
          <cell r="D612" t="str">
            <v>LM1103</v>
          </cell>
        </row>
        <row r="613">
          <cell r="D613" t="str">
            <v>:8606</v>
          </cell>
        </row>
        <row r="615">
          <cell r="D615" t="str">
            <v>NL0003</v>
          </cell>
        </row>
        <row r="617">
          <cell r="D617" t="str">
            <v>LM1103</v>
          </cell>
        </row>
        <row r="618">
          <cell r="D618" t="str">
            <v>:8607</v>
          </cell>
        </row>
        <row r="620">
          <cell r="D620" t="str">
            <v>NL0003</v>
          </cell>
        </row>
        <row r="622">
          <cell r="D622" t="str">
            <v>LM1103</v>
          </cell>
        </row>
        <row r="623">
          <cell r="D623" t="str">
            <v>:8605</v>
          </cell>
        </row>
        <row r="625">
          <cell r="D625" t="str">
            <v>NL0003</v>
          </cell>
        </row>
        <row r="627">
          <cell r="D627" t="str">
            <v>LM1103</v>
          </cell>
        </row>
        <row r="628">
          <cell r="D628" t="str">
            <v>:8608</v>
          </cell>
        </row>
        <row r="630">
          <cell r="D630" t="str">
            <v>NL0001</v>
          </cell>
        </row>
        <row r="632">
          <cell r="D632" t="str">
            <v>LM1104</v>
          </cell>
        </row>
        <row r="633">
          <cell r="D633" t="str">
            <v>:8613</v>
          </cell>
        </row>
        <row r="635">
          <cell r="D635" t="str">
            <v>NL0003</v>
          </cell>
        </row>
        <row r="637">
          <cell r="D637" t="str">
            <v>LM1103</v>
          </cell>
        </row>
        <row r="638">
          <cell r="D638" t="str">
            <v>:8616</v>
          </cell>
        </row>
        <row r="640">
          <cell r="D640" t="str">
            <v>NL0003</v>
          </cell>
        </row>
        <row r="642">
          <cell r="D642" t="str">
            <v>LM1103</v>
          </cell>
        </row>
        <row r="643">
          <cell r="D643" t="str">
            <v>:8615</v>
          </cell>
        </row>
        <row r="645">
          <cell r="D645" t="str">
            <v>NL0003</v>
          </cell>
        </row>
        <row r="647">
          <cell r="D647" t="str">
            <v>LM1103</v>
          </cell>
        </row>
        <row r="648">
          <cell r="D648" t="str">
            <v>:8625</v>
          </cell>
        </row>
        <row r="650">
          <cell r="D650" t="str">
            <v>NL0002</v>
          </cell>
        </row>
        <row r="652">
          <cell r="D652" t="str">
            <v>LM1103</v>
          </cell>
        </row>
        <row r="653">
          <cell r="D653" t="str">
            <v>LM1107</v>
          </cell>
        </row>
        <row r="654">
          <cell r="D654" t="str">
            <v>:8624</v>
          </cell>
        </row>
        <row r="656">
          <cell r="D656" t="str">
            <v>NL0002</v>
          </cell>
        </row>
        <row r="658">
          <cell r="D658" t="str">
            <v>LM1103</v>
          </cell>
        </row>
        <row r="659">
          <cell r="D659" t="str">
            <v>LM1106</v>
          </cell>
        </row>
        <row r="660">
          <cell r="D660" t="str">
            <v>:8617</v>
          </cell>
        </row>
        <row r="662">
          <cell r="D662" t="str">
            <v>NL0003</v>
          </cell>
        </row>
        <row r="664">
          <cell r="D664" t="str">
            <v>LM1103</v>
          </cell>
        </row>
        <row r="665">
          <cell r="D665" t="str">
            <v>:8626</v>
          </cell>
        </row>
        <row r="667">
          <cell r="D667" t="str">
            <v>NL0002</v>
          </cell>
        </row>
        <row r="669">
          <cell r="D669" t="str">
            <v>LM1103</v>
          </cell>
        </row>
        <row r="670">
          <cell r="D670" t="str">
            <v>LM1105</v>
          </cell>
        </row>
        <row r="671">
          <cell r="D671" t="str">
            <v>:8618</v>
          </cell>
        </row>
        <row r="673">
          <cell r="D673" t="str">
            <v>NL0003</v>
          </cell>
        </row>
        <row r="675">
          <cell r="D675" t="str">
            <v>LM1103</v>
          </cell>
        </row>
        <row r="676">
          <cell r="D676" t="str">
            <v>:8629</v>
          </cell>
        </row>
        <row r="678">
          <cell r="D678" t="str">
            <v>NL0003</v>
          </cell>
        </row>
        <row r="680">
          <cell r="D680" t="str">
            <v>LM1103</v>
          </cell>
        </row>
        <row r="681">
          <cell r="D681" t="str">
            <v>LM1104</v>
          </cell>
        </row>
        <row r="682">
          <cell r="D682" t="str">
            <v>:8628</v>
          </cell>
        </row>
        <row r="684">
          <cell r="D684" t="str">
            <v>NL0003</v>
          </cell>
        </row>
        <row r="686">
          <cell r="D686" t="str">
            <v>LM1103</v>
          </cell>
        </row>
        <row r="687">
          <cell r="D687" t="str">
            <v>LM1104</v>
          </cell>
        </row>
        <row r="688">
          <cell r="D688" t="str">
            <v>:8627</v>
          </cell>
        </row>
        <row r="690">
          <cell r="D690" t="str">
            <v>NL0003</v>
          </cell>
        </row>
        <row r="692">
          <cell r="D692" t="str">
            <v>LM1103</v>
          </cell>
        </row>
        <row r="693">
          <cell r="D693" t="str">
            <v>LM1104</v>
          </cell>
        </row>
        <row r="694">
          <cell r="D694" t="str">
            <v>:8656</v>
          </cell>
        </row>
        <row r="696">
          <cell r="D696" t="str">
            <v>NL0002</v>
          </cell>
        </row>
        <row r="698">
          <cell r="D698" t="str">
            <v>LM1104</v>
          </cell>
        </row>
        <row r="699">
          <cell r="D699" t="str">
            <v>:8630</v>
          </cell>
        </row>
        <row r="701">
          <cell r="D701" t="str">
            <v>NL0003</v>
          </cell>
        </row>
        <row r="703">
          <cell r="D703" t="str">
            <v>LM1103</v>
          </cell>
        </row>
        <row r="704">
          <cell r="D704" t="str">
            <v>LM1104</v>
          </cell>
        </row>
        <row r="705">
          <cell r="D705" t="str">
            <v>:8631</v>
          </cell>
        </row>
        <row r="707">
          <cell r="D707" t="str">
            <v>NL0003</v>
          </cell>
        </row>
        <row r="709">
          <cell r="D709" t="str">
            <v>LM1104</v>
          </cell>
        </row>
        <row r="710">
          <cell r="D710" t="str">
            <v>:8632</v>
          </cell>
        </row>
        <row r="711">
          <cell r="D711" t="str">
            <v>:8649</v>
          </cell>
        </row>
        <row r="713">
          <cell r="D713" t="str">
            <v>NL0002</v>
          </cell>
        </row>
        <row r="715">
          <cell r="D715" t="str">
            <v>LM1103</v>
          </cell>
        </row>
        <row r="716">
          <cell r="D716" t="str">
            <v>LM1104</v>
          </cell>
        </row>
        <row r="717">
          <cell r="D717" t="str">
            <v>LM1106</v>
          </cell>
        </row>
        <row r="718">
          <cell r="D718" t="str">
            <v>:8650</v>
          </cell>
        </row>
        <row r="720">
          <cell r="D720" t="str">
            <v>NL0002</v>
          </cell>
        </row>
        <row r="722">
          <cell r="D722" t="str">
            <v>LM1103</v>
          </cell>
        </row>
        <row r="723">
          <cell r="D723" t="str">
            <v>LM1104</v>
          </cell>
        </row>
        <row r="724">
          <cell r="D724" t="str">
            <v>LM1106</v>
          </cell>
        </row>
        <row r="725">
          <cell r="D725" t="str">
            <v>:8640</v>
          </cell>
        </row>
        <row r="727">
          <cell r="D727" t="str">
            <v>NL0002</v>
          </cell>
        </row>
        <row r="729">
          <cell r="D729" t="str">
            <v>LM1103</v>
          </cell>
        </row>
        <row r="730">
          <cell r="D730" t="str">
            <v>LM1104</v>
          </cell>
        </row>
        <row r="731">
          <cell r="D731" t="str">
            <v>LM1106</v>
          </cell>
        </row>
        <row r="732">
          <cell r="D732" t="str">
            <v>:8646</v>
          </cell>
        </row>
        <row r="734">
          <cell r="D734" t="str">
            <v>NL0003</v>
          </cell>
        </row>
        <row r="736">
          <cell r="D736" t="str">
            <v>LM1103</v>
          </cell>
        </row>
        <row r="737">
          <cell r="D737" t="str">
            <v>LM1104</v>
          </cell>
        </row>
        <row r="738">
          <cell r="D738" t="str">
            <v>LM1105</v>
          </cell>
        </row>
        <row r="739">
          <cell r="D739" t="str">
            <v>LM1106</v>
          </cell>
        </row>
        <row r="740">
          <cell r="D740" t="str">
            <v>:8641</v>
          </cell>
        </row>
        <row r="742">
          <cell r="D742" t="str">
            <v>NL0002</v>
          </cell>
        </row>
        <row r="744">
          <cell r="D744" t="str">
            <v>LM1103</v>
          </cell>
        </row>
        <row r="745">
          <cell r="D745" t="str">
            <v>LM1104</v>
          </cell>
        </row>
        <row r="746">
          <cell r="D746" t="str">
            <v>LM1106</v>
          </cell>
        </row>
        <row r="747">
          <cell r="D747" t="str">
            <v>:8643</v>
          </cell>
        </row>
        <row r="749">
          <cell r="D749" t="str">
            <v>NL0003</v>
          </cell>
        </row>
        <row r="751">
          <cell r="D751" t="str">
            <v>LM1103</v>
          </cell>
        </row>
        <row r="752">
          <cell r="D752" t="str">
            <v>LM1104</v>
          </cell>
        </row>
        <row r="753">
          <cell r="D753" t="str">
            <v>LM1106</v>
          </cell>
        </row>
        <row r="754">
          <cell r="D754" t="str">
            <v>:8636</v>
          </cell>
        </row>
        <row r="756">
          <cell r="D756" t="str">
            <v>NL0003</v>
          </cell>
        </row>
        <row r="758">
          <cell r="D758" t="str">
            <v>LM1103</v>
          </cell>
        </row>
        <row r="759">
          <cell r="D759" t="str">
            <v>LM1104</v>
          </cell>
        </row>
        <row r="760">
          <cell r="D760" t="str">
            <v>:8635</v>
          </cell>
        </row>
        <row r="762">
          <cell r="D762" t="str">
            <v>NL0003</v>
          </cell>
        </row>
        <row r="764">
          <cell r="D764" t="str">
            <v>LM1103</v>
          </cell>
        </row>
        <row r="765">
          <cell r="D765" t="str">
            <v>8635a</v>
          </cell>
        </row>
        <row r="767">
          <cell r="D767" t="str">
            <v>NL0003</v>
          </cell>
        </row>
        <row r="769">
          <cell r="D769" t="str">
            <v>LM1103</v>
          </cell>
        </row>
        <row r="770">
          <cell r="D770" t="str">
            <v>:8634</v>
          </cell>
        </row>
        <row r="772">
          <cell r="D772" t="str">
            <v>NL0003</v>
          </cell>
        </row>
        <row r="774">
          <cell r="D774" t="str">
            <v>LM1103</v>
          </cell>
        </row>
        <row r="775">
          <cell r="D775">
            <v>0</v>
          </cell>
        </row>
        <row r="777">
          <cell r="D777" t="str">
            <v>NL0003</v>
          </cell>
        </row>
        <row r="779">
          <cell r="D779" t="str">
            <v>LM1103</v>
          </cell>
        </row>
        <row r="780">
          <cell r="D780" t="str">
            <v>:8637</v>
          </cell>
        </row>
        <row r="782">
          <cell r="D782" t="str">
            <v>NL0003</v>
          </cell>
        </row>
        <row r="784">
          <cell r="D784" t="str">
            <v>LM1103</v>
          </cell>
        </row>
        <row r="785">
          <cell r="D785" t="str">
            <v>:8638</v>
          </cell>
        </row>
        <row r="787">
          <cell r="D787" t="str">
            <v>NL0003</v>
          </cell>
        </row>
        <row r="789">
          <cell r="D789" t="str">
            <v>LM1103</v>
          </cell>
        </row>
        <row r="790">
          <cell r="D790" t="str">
            <v>:8639</v>
          </cell>
        </row>
        <row r="792">
          <cell r="D792" t="str">
            <v>LM1103</v>
          </cell>
        </row>
        <row r="793">
          <cell r="D793" t="str">
            <v>:8633</v>
          </cell>
        </row>
        <row r="795">
          <cell r="D795" t="str">
            <v>NL0003</v>
          </cell>
        </row>
        <row r="797">
          <cell r="D797" t="str">
            <v>LM1103</v>
          </cell>
        </row>
        <row r="798">
          <cell r="D798" t="str">
            <v>:8642</v>
          </cell>
        </row>
        <row r="800">
          <cell r="D800" t="str">
            <v>NL0003</v>
          </cell>
        </row>
        <row r="802">
          <cell r="D802" t="str">
            <v>LM1104</v>
          </cell>
        </row>
        <row r="803">
          <cell r="D803" t="str">
            <v>LM1107</v>
          </cell>
        </row>
        <row r="804">
          <cell r="D804" t="str">
            <v>:8644</v>
          </cell>
        </row>
        <row r="806">
          <cell r="D806" t="str">
            <v>NL0003</v>
          </cell>
        </row>
        <row r="808">
          <cell r="D808" t="str">
            <v>LM1104</v>
          </cell>
        </row>
        <row r="809">
          <cell r="D809" t="str">
            <v>LM1107</v>
          </cell>
        </row>
        <row r="810">
          <cell r="D810" t="str">
            <v>:8645</v>
          </cell>
        </row>
        <row r="812">
          <cell r="D812" t="str">
            <v>NL0002</v>
          </cell>
        </row>
        <row r="814">
          <cell r="D814" t="str">
            <v>LM1104</v>
          </cell>
        </row>
        <row r="815">
          <cell r="D815" t="str">
            <v>LM1107</v>
          </cell>
        </row>
        <row r="816">
          <cell r="D816" t="str">
            <v>:8648</v>
          </cell>
        </row>
        <row r="818">
          <cell r="D818" t="str">
            <v>NL0002</v>
          </cell>
        </row>
        <row r="820">
          <cell r="D820" t="str">
            <v>LM1104</v>
          </cell>
        </row>
        <row r="821">
          <cell r="D821" t="str">
            <v>LM1107</v>
          </cell>
        </row>
        <row r="822">
          <cell r="D822" t="str">
            <v>:8648a</v>
          </cell>
        </row>
        <row r="824">
          <cell r="D824" t="str">
            <v>LM1103</v>
          </cell>
        </row>
        <row r="825">
          <cell r="D825" t="str">
            <v>LM1104</v>
          </cell>
        </row>
        <row r="826">
          <cell r="D826" t="str">
            <v>:8651</v>
          </cell>
        </row>
        <row r="828">
          <cell r="D828" t="str">
            <v>LM1103</v>
          </cell>
        </row>
        <row r="829">
          <cell r="D829" t="str">
            <v>LM1104</v>
          </cell>
        </row>
        <row r="830">
          <cell r="D830" t="str">
            <v>:8652</v>
          </cell>
        </row>
        <row r="832">
          <cell r="D832" t="str">
            <v>LM1103</v>
          </cell>
        </row>
        <row r="833">
          <cell r="D833" t="str">
            <v>LM1104</v>
          </cell>
        </row>
        <row r="834">
          <cell r="D834" t="str">
            <v>:8647</v>
          </cell>
        </row>
        <row r="836">
          <cell r="D836" t="str">
            <v>NL0002</v>
          </cell>
        </row>
        <row r="838">
          <cell r="D838" t="str">
            <v>LM1103</v>
          </cell>
        </row>
        <row r="839">
          <cell r="D839" t="str">
            <v>LM1104</v>
          </cell>
        </row>
        <row r="840">
          <cell r="D840" t="str">
            <v>:8622</v>
          </cell>
        </row>
        <row r="842">
          <cell r="D842" t="str">
            <v>NL0003</v>
          </cell>
        </row>
        <row r="844">
          <cell r="D844" t="str">
            <v>LM1103</v>
          </cell>
        </row>
        <row r="845">
          <cell r="D845" t="str">
            <v>:8580</v>
          </cell>
        </row>
        <row r="847">
          <cell r="D847" t="str">
            <v>NL0002</v>
          </cell>
        </row>
        <row r="849">
          <cell r="D849" t="str">
            <v>LM1104</v>
          </cell>
        </row>
        <row r="850">
          <cell r="D850" t="str">
            <v>:8579</v>
          </cell>
        </row>
        <row r="852">
          <cell r="D852" t="str">
            <v>NL0002</v>
          </cell>
        </row>
        <row r="854">
          <cell r="D854" t="str">
            <v>LM1103</v>
          </cell>
        </row>
        <row r="855">
          <cell r="D855" t="str">
            <v>:8577</v>
          </cell>
        </row>
        <row r="857">
          <cell r="D857" t="str">
            <v>NL0002</v>
          </cell>
        </row>
        <row r="859">
          <cell r="D859" t="str">
            <v>LM1105</v>
          </cell>
        </row>
        <row r="860">
          <cell r="D860" t="str">
            <v>:8581</v>
          </cell>
        </row>
        <row r="862">
          <cell r="D862" t="str">
            <v>NL0002</v>
          </cell>
        </row>
        <row r="864">
          <cell r="D864" t="str">
            <v>LM1104</v>
          </cell>
        </row>
        <row r="865">
          <cell r="D865" t="str">
            <v>:8623</v>
          </cell>
        </row>
        <row r="867">
          <cell r="D867" t="str">
            <v>NL0003</v>
          </cell>
        </row>
        <row r="869">
          <cell r="D869" t="str">
            <v>LM1104</v>
          </cell>
        </row>
        <row r="870">
          <cell r="D870" t="str">
            <v>:8620</v>
          </cell>
        </row>
        <row r="872">
          <cell r="D872" t="str">
            <v>NL0003</v>
          </cell>
        </row>
        <row r="874">
          <cell r="D874" t="str">
            <v>LM1103</v>
          </cell>
        </row>
        <row r="875">
          <cell r="D875" t="str">
            <v>:8621</v>
          </cell>
        </row>
        <row r="877">
          <cell r="D877" t="str">
            <v>NL0003</v>
          </cell>
        </row>
        <row r="879">
          <cell r="D879" t="str">
            <v>LM1103</v>
          </cell>
        </row>
        <row r="880">
          <cell r="D880" t="str">
            <v>:8653</v>
          </cell>
        </row>
        <row r="882">
          <cell r="D882" t="str">
            <v>NL0002</v>
          </cell>
        </row>
        <row r="884">
          <cell r="D884" t="str">
            <v>LM1104</v>
          </cell>
        </row>
        <row r="885">
          <cell r="D885" t="str">
            <v>:8657</v>
          </cell>
        </row>
        <row r="887">
          <cell r="D887" t="str">
            <v>NL0002</v>
          </cell>
        </row>
        <row r="889">
          <cell r="D889" t="str">
            <v>LM1104</v>
          </cell>
        </row>
        <row r="890">
          <cell r="D890" t="str">
            <v>:8660</v>
          </cell>
        </row>
        <row r="892">
          <cell r="D892" t="str">
            <v>NL0002</v>
          </cell>
        </row>
        <row r="894">
          <cell r="D894" t="str">
            <v>LM1104</v>
          </cell>
        </row>
        <row r="895">
          <cell r="D895" t="str">
            <v>:8654</v>
          </cell>
        </row>
        <row r="897">
          <cell r="D897" t="str">
            <v>NL0002</v>
          </cell>
        </row>
        <row r="899">
          <cell r="D899" t="str">
            <v>LM1104</v>
          </cell>
        </row>
        <row r="900">
          <cell r="D900" t="str">
            <v>:8655</v>
          </cell>
        </row>
        <row r="902">
          <cell r="D902" t="str">
            <v>NL0002</v>
          </cell>
        </row>
        <row r="904">
          <cell r="D904" t="str">
            <v>LM1104</v>
          </cell>
        </row>
        <row r="905">
          <cell r="D905" t="str">
            <v>:8658</v>
          </cell>
        </row>
        <row r="907">
          <cell r="D907" t="str">
            <v>NL0002</v>
          </cell>
        </row>
        <row r="909">
          <cell r="D909" t="str">
            <v>LM1104</v>
          </cell>
        </row>
        <row r="910">
          <cell r="D910" t="str">
            <v>:8659</v>
          </cell>
        </row>
        <row r="912">
          <cell r="D912" t="str">
            <v>NL0002</v>
          </cell>
        </row>
        <row r="914">
          <cell r="D914" t="str">
            <v>LM1104</v>
          </cell>
        </row>
        <row r="915">
          <cell r="D915" t="str">
            <v>:8665</v>
          </cell>
        </row>
        <row r="917">
          <cell r="D917" t="str">
            <v>NL0002</v>
          </cell>
        </row>
        <row r="919">
          <cell r="D919" t="str">
            <v>LM1103</v>
          </cell>
        </row>
        <row r="920">
          <cell r="D920" t="str">
            <v>LM1106</v>
          </cell>
        </row>
        <row r="921">
          <cell r="D921" t="str">
            <v>:8661</v>
          </cell>
        </row>
        <row r="923">
          <cell r="D923" t="str">
            <v>NL0002</v>
          </cell>
        </row>
        <row r="925">
          <cell r="D925" t="str">
            <v>LM1104</v>
          </cell>
        </row>
        <row r="926">
          <cell r="D926" t="str">
            <v>:8662</v>
          </cell>
        </row>
        <row r="928">
          <cell r="D928" t="str">
            <v>NL0002</v>
          </cell>
        </row>
        <row r="930">
          <cell r="D930" t="str">
            <v>LM1103</v>
          </cell>
        </row>
        <row r="931">
          <cell r="D931" t="str">
            <v>LM1105</v>
          </cell>
        </row>
        <row r="932">
          <cell r="D932" t="str">
            <v>:8663</v>
          </cell>
        </row>
        <row r="934">
          <cell r="D934" t="str">
            <v>NL0002</v>
          </cell>
        </row>
        <row r="936">
          <cell r="D936" t="str">
            <v>LM1103</v>
          </cell>
        </row>
        <row r="937">
          <cell r="D937" t="str">
            <v>LM1105</v>
          </cell>
        </row>
        <row r="938">
          <cell r="D938" t="str">
            <v>:8664</v>
          </cell>
        </row>
        <row r="940">
          <cell r="D940" t="str">
            <v>NL0002</v>
          </cell>
        </row>
        <row r="942">
          <cell r="D942" t="str">
            <v>LM1103</v>
          </cell>
        </row>
        <row r="943">
          <cell r="D943" t="str">
            <v>LM1105</v>
          </cell>
        </row>
        <row r="944">
          <cell r="D944" t="str">
            <v>:8666</v>
          </cell>
        </row>
        <row r="946">
          <cell r="D946" t="str">
            <v>NL0002</v>
          </cell>
        </row>
        <row r="948">
          <cell r="D948" t="str">
            <v>LM1103</v>
          </cell>
        </row>
        <row r="949">
          <cell r="D949" t="str">
            <v>LM1107</v>
          </cell>
        </row>
        <row r="950">
          <cell r="D950" t="str">
            <v>:8669</v>
          </cell>
        </row>
        <row r="952">
          <cell r="D952" t="str">
            <v>NL0002</v>
          </cell>
        </row>
        <row r="954">
          <cell r="D954" t="str">
            <v>LM1103</v>
          </cell>
        </row>
        <row r="955">
          <cell r="D955" t="str">
            <v>:8670</v>
          </cell>
        </row>
        <row r="957">
          <cell r="D957" t="str">
            <v>NL0002</v>
          </cell>
        </row>
        <row r="959">
          <cell r="D959" t="str">
            <v>LM1103</v>
          </cell>
        </row>
        <row r="960">
          <cell r="D960" t="str">
            <v>:8671</v>
          </cell>
        </row>
        <row r="962">
          <cell r="D962" t="str">
            <v>NL0002</v>
          </cell>
        </row>
        <row r="964">
          <cell r="D964" t="str">
            <v>LM1104</v>
          </cell>
        </row>
        <row r="965">
          <cell r="D965" t="str">
            <v>:8668</v>
          </cell>
        </row>
        <row r="967">
          <cell r="D967" t="str">
            <v>NL0003</v>
          </cell>
        </row>
        <row r="969">
          <cell r="D969" t="str">
            <v>LM1103</v>
          </cell>
        </row>
        <row r="970">
          <cell r="D970" t="str">
            <v>:8667</v>
          </cell>
        </row>
        <row r="972">
          <cell r="D972" t="str">
            <v>LM1103</v>
          </cell>
        </row>
        <row r="973">
          <cell r="D973" t="str">
            <v>:8672</v>
          </cell>
        </row>
        <row r="975">
          <cell r="D975" t="str">
            <v>NL0003</v>
          </cell>
        </row>
        <row r="977">
          <cell r="D977" t="str">
            <v>LM1104</v>
          </cell>
        </row>
        <row r="978">
          <cell r="D978" t="str">
            <v>:8673</v>
          </cell>
        </row>
        <row r="980">
          <cell r="D980" t="str">
            <v>NL0003</v>
          </cell>
        </row>
        <row r="982">
          <cell r="D982" t="str">
            <v>LM1103</v>
          </cell>
        </row>
        <row r="983">
          <cell r="D983" t="str">
            <v>LM1104</v>
          </cell>
        </row>
        <row r="984">
          <cell r="D984" t="str">
            <v>:8675</v>
          </cell>
        </row>
        <row r="986">
          <cell r="D986" t="str">
            <v>NL0003</v>
          </cell>
        </row>
        <row r="988">
          <cell r="D988" t="str">
            <v>LM1103</v>
          </cell>
        </row>
        <row r="989">
          <cell r="D989" t="str">
            <v>LM1104</v>
          </cell>
        </row>
        <row r="990">
          <cell r="D990" t="str">
            <v>LM1105</v>
          </cell>
        </row>
        <row r="991">
          <cell r="D991" t="str">
            <v>LM1106</v>
          </cell>
        </row>
        <row r="992">
          <cell r="D992" t="str">
            <v>:8674</v>
          </cell>
        </row>
        <row r="994">
          <cell r="D994" t="str">
            <v>NL0003</v>
          </cell>
        </row>
        <row r="996">
          <cell r="D996" t="str">
            <v>LM1103</v>
          </cell>
        </row>
        <row r="997">
          <cell r="D997" t="str">
            <v>LM1104</v>
          </cell>
        </row>
        <row r="998">
          <cell r="D998" t="str">
            <v>LM1106</v>
          </cell>
        </row>
        <row r="999">
          <cell r="D999" t="str">
            <v>:8678</v>
          </cell>
        </row>
        <row r="1001">
          <cell r="D1001" t="str">
            <v>NL0002</v>
          </cell>
        </row>
        <row r="1003">
          <cell r="D1003" t="str">
            <v>LM1103</v>
          </cell>
        </row>
        <row r="1004">
          <cell r="D1004" t="str">
            <v>LM1105</v>
          </cell>
        </row>
        <row r="1005">
          <cell r="D1005" t="str">
            <v>:8677</v>
          </cell>
        </row>
        <row r="1007">
          <cell r="D1007" t="str">
            <v>NL0002</v>
          </cell>
        </row>
        <row r="1009">
          <cell r="D1009" t="str">
            <v>LM1103</v>
          </cell>
        </row>
        <row r="1010">
          <cell r="D1010" t="str">
            <v>LM1105</v>
          </cell>
        </row>
        <row r="1011">
          <cell r="D1011" t="str">
            <v>:8676</v>
          </cell>
        </row>
        <row r="1013">
          <cell r="D1013" t="str">
            <v>NL0002</v>
          </cell>
        </row>
        <row r="1015">
          <cell r="D1015" t="str">
            <v>LM1103</v>
          </cell>
        </row>
        <row r="1016">
          <cell r="D1016" t="str">
            <v>LM1105</v>
          </cell>
        </row>
        <row r="1017">
          <cell r="D1017" t="str">
            <v>LM1106</v>
          </cell>
        </row>
        <row r="1018">
          <cell r="D1018" t="str">
            <v>:8680</v>
          </cell>
        </row>
        <row r="1020">
          <cell r="D1020" t="str">
            <v>NL0003</v>
          </cell>
        </row>
        <row r="1022">
          <cell r="D1022" t="str">
            <v>LM1104</v>
          </cell>
        </row>
        <row r="1023">
          <cell r="D1023" t="str">
            <v>:8679</v>
          </cell>
        </row>
        <row r="1025">
          <cell r="D1025" t="str">
            <v>NL0002</v>
          </cell>
        </row>
        <row r="1027">
          <cell r="D1027" t="str">
            <v>LM1103</v>
          </cell>
        </row>
        <row r="1028">
          <cell r="D1028" t="str">
            <v>LM1105</v>
          </cell>
        </row>
        <row r="1029">
          <cell r="D1029" t="str">
            <v>:8682</v>
          </cell>
        </row>
        <row r="1031">
          <cell r="D1031" t="str">
            <v>NL0002</v>
          </cell>
        </row>
        <row r="1033">
          <cell r="D1033" t="str">
            <v>LX1301</v>
          </cell>
        </row>
        <row r="1034">
          <cell r="D1034" t="str">
            <v>LX1303</v>
          </cell>
        </row>
        <row r="1035">
          <cell r="D1035" t="str">
            <v>:8619</v>
          </cell>
        </row>
        <row r="1037">
          <cell r="D1037" t="str">
            <v>NL0003</v>
          </cell>
        </row>
        <row r="1039">
          <cell r="D1039" t="str">
            <v>LM1103</v>
          </cell>
        </row>
        <row r="1040">
          <cell r="D1040" t="str">
            <v>:8683</v>
          </cell>
        </row>
        <row r="1041">
          <cell r="D1041" t="str">
            <v>:8685</v>
          </cell>
        </row>
        <row r="1043">
          <cell r="D1043" t="str">
            <v>NL0003</v>
          </cell>
        </row>
        <row r="1045">
          <cell r="D1045" t="str">
            <v>LM1103</v>
          </cell>
        </row>
        <row r="1046">
          <cell r="D1046" t="str">
            <v>:8686</v>
          </cell>
        </row>
        <row r="1048">
          <cell r="D1048" t="str">
            <v>NL0003</v>
          </cell>
        </row>
        <row r="1050">
          <cell r="D1050" t="str">
            <v>LM1104</v>
          </cell>
        </row>
        <row r="1051">
          <cell r="D1051" t="str">
            <v>:8681</v>
          </cell>
        </row>
        <row r="1053">
          <cell r="D1053" t="str">
            <v>NL0003</v>
          </cell>
        </row>
        <row r="1055">
          <cell r="D1055" t="str">
            <v>LM1103</v>
          </cell>
        </row>
        <row r="1056">
          <cell r="D1056" t="str">
            <v>:8684</v>
          </cell>
        </row>
        <row r="1058">
          <cell r="D1058" t="str">
            <v>NL0003</v>
          </cell>
        </row>
        <row r="1060">
          <cell r="D1060" t="str">
            <v>LM1103</v>
          </cell>
        </row>
        <row r="1061">
          <cell r="D1061" t="str">
            <v>:8688</v>
          </cell>
        </row>
        <row r="1063">
          <cell r="D1063" t="str">
            <v>NL0003</v>
          </cell>
        </row>
        <row r="1065">
          <cell r="D1065" t="str">
            <v>LM1103</v>
          </cell>
        </row>
        <row r="1066">
          <cell r="D1066" t="str">
            <v>:8697</v>
          </cell>
        </row>
        <row r="1068">
          <cell r="D1068" t="str">
            <v>NL0002</v>
          </cell>
        </row>
        <row r="1070">
          <cell r="D1070" t="str">
            <v>LM1103</v>
          </cell>
        </row>
        <row r="1071">
          <cell r="D1071" t="str">
            <v>LM1104</v>
          </cell>
        </row>
        <row r="1072">
          <cell r="D1072" t="str">
            <v>LM1106</v>
          </cell>
        </row>
        <row r="1073">
          <cell r="D1073" t="str">
            <v>:8690</v>
          </cell>
        </row>
        <row r="1075">
          <cell r="D1075" t="str">
            <v>NL0002</v>
          </cell>
        </row>
        <row r="1077">
          <cell r="D1077" t="str">
            <v>LM1104</v>
          </cell>
        </row>
        <row r="1078">
          <cell r="D1078" t="str">
            <v>:8691</v>
          </cell>
        </row>
        <row r="1080">
          <cell r="D1080" t="str">
            <v>NL0002</v>
          </cell>
        </row>
        <row r="1082">
          <cell r="D1082" t="str">
            <v>LM1103</v>
          </cell>
        </row>
        <row r="1083">
          <cell r="D1083" t="str">
            <v>LM1105</v>
          </cell>
        </row>
        <row r="1084">
          <cell r="D1084" t="str">
            <v>:8692</v>
          </cell>
        </row>
        <row r="1086">
          <cell r="D1086" t="str">
            <v>NL0002</v>
          </cell>
        </row>
        <row r="1088">
          <cell r="D1088" t="str">
            <v>LM1103</v>
          </cell>
        </row>
        <row r="1089">
          <cell r="D1089" t="str">
            <v>LM1105</v>
          </cell>
        </row>
        <row r="1090">
          <cell r="D1090" t="str">
            <v>:8693</v>
          </cell>
        </row>
        <row r="1092">
          <cell r="D1092" t="str">
            <v>NL0002</v>
          </cell>
        </row>
        <row r="1094">
          <cell r="D1094" t="str">
            <v>LM1104</v>
          </cell>
        </row>
        <row r="1095">
          <cell r="D1095" t="str">
            <v>LM1106</v>
          </cell>
        </row>
        <row r="1096">
          <cell r="D1096" t="str">
            <v>:8696</v>
          </cell>
        </row>
        <row r="1098">
          <cell r="D1098" t="str">
            <v>NL0002</v>
          </cell>
        </row>
        <row r="1100">
          <cell r="D1100" t="str">
            <v>LM1104</v>
          </cell>
        </row>
        <row r="1101">
          <cell r="D1101" t="str">
            <v>LM1106</v>
          </cell>
        </row>
        <row r="1102">
          <cell r="D1102" t="str">
            <v>:8694</v>
          </cell>
        </row>
        <row r="1104">
          <cell r="D1104" t="str">
            <v>NL0002</v>
          </cell>
        </row>
        <row r="1106">
          <cell r="D1106" t="str">
            <v>LM1104</v>
          </cell>
        </row>
        <row r="1107">
          <cell r="D1107" t="str">
            <v>:8695</v>
          </cell>
        </row>
        <row r="1109">
          <cell r="D1109" t="str">
            <v>NL0002</v>
          </cell>
        </row>
        <row r="1111">
          <cell r="D1111" t="str">
            <v>LM1103</v>
          </cell>
        </row>
        <row r="1112">
          <cell r="D1112" t="str">
            <v>LM1105</v>
          </cell>
        </row>
        <row r="1113">
          <cell r="D1113" t="str">
            <v>:8621</v>
          </cell>
        </row>
        <row r="1115">
          <cell r="D1115" t="str">
            <v>NL0003</v>
          </cell>
        </row>
        <row r="1117">
          <cell r="D1117" t="str">
            <v>LM1103</v>
          </cell>
        </row>
        <row r="1118">
          <cell r="D1118" t="str">
            <v>:8699</v>
          </cell>
        </row>
        <row r="1120">
          <cell r="D1120" t="str">
            <v>LM1103</v>
          </cell>
        </row>
        <row r="1121">
          <cell r="D1121" t="str">
            <v>:8698</v>
          </cell>
        </row>
        <row r="1123">
          <cell r="D1123" t="str">
            <v>LM1103</v>
          </cell>
        </row>
        <row r="1124">
          <cell r="D1124" t="str">
            <v>:8702</v>
          </cell>
        </row>
        <row r="1125">
          <cell r="D1125" t="str">
            <v>:8701</v>
          </cell>
        </row>
        <row r="1126">
          <cell r="D1126" t="str">
            <v>:8700</v>
          </cell>
        </row>
        <row r="1127">
          <cell r="D1127" t="str">
            <v>:8584</v>
          </cell>
        </row>
        <row r="1129">
          <cell r="D1129" t="str">
            <v>NL0002</v>
          </cell>
        </row>
        <row r="1131">
          <cell r="D1131" t="str">
            <v>LM1104</v>
          </cell>
        </row>
        <row r="1132">
          <cell r="D1132" t="str">
            <v>:8702</v>
          </cell>
        </row>
        <row r="1134">
          <cell r="D1134" t="str">
            <v>NL0003</v>
          </cell>
        </row>
        <row r="1136">
          <cell r="D1136" t="str">
            <v>LM1104</v>
          </cell>
        </row>
        <row r="1137">
          <cell r="D1137" t="str">
            <v>LM1105</v>
          </cell>
        </row>
        <row r="1138">
          <cell r="D1138" t="str">
            <v>:8746</v>
          </cell>
        </row>
        <row r="1140">
          <cell r="D1140" t="str">
            <v>LT2122</v>
          </cell>
        </row>
        <row r="1141">
          <cell r="D1141" t="str">
            <v>:8749</v>
          </cell>
        </row>
        <row r="1143">
          <cell r="D1143" t="str">
            <v>LT2122</v>
          </cell>
        </row>
        <row r="1144">
          <cell r="D1144" t="str">
            <v>:8709</v>
          </cell>
        </row>
        <row r="1146">
          <cell r="D1146" t="str">
            <v>NL0002</v>
          </cell>
        </row>
        <row r="1148">
          <cell r="D1148" t="str">
            <v>LT5222</v>
          </cell>
        </row>
        <row r="1149">
          <cell r="D1149" t="str">
            <v>LT5322</v>
          </cell>
        </row>
        <row r="1150">
          <cell r="D1150" t="str">
            <v>LT5422</v>
          </cell>
        </row>
        <row r="1151">
          <cell r="D1151" t="str">
            <v>LT5703</v>
          </cell>
        </row>
        <row r="1152">
          <cell r="D1152" t="str">
            <v>LT5704</v>
          </cell>
        </row>
        <row r="1153">
          <cell r="D1153" t="str">
            <v>LT5803</v>
          </cell>
        </row>
        <row r="1154">
          <cell r="D1154" t="str">
            <v>LT5804</v>
          </cell>
        </row>
        <row r="1155">
          <cell r="D1155" t="str">
            <v>:8709</v>
          </cell>
        </row>
        <row r="1157">
          <cell r="D1157" t="str">
            <v>NL0002</v>
          </cell>
        </row>
        <row r="1159">
          <cell r="D1159" t="str">
            <v>LT5222</v>
          </cell>
        </row>
        <row r="1160">
          <cell r="D1160" t="str">
            <v>LT5322</v>
          </cell>
        </row>
        <row r="1161">
          <cell r="D1161" t="str">
            <v>LT5422</v>
          </cell>
        </row>
        <row r="1162">
          <cell r="D1162" t="str">
            <v>LT5703</v>
          </cell>
        </row>
        <row r="1163">
          <cell r="D1163" t="str">
            <v>LT5704</v>
          </cell>
        </row>
        <row r="1164">
          <cell r="D1164" t="str">
            <v>LT5803</v>
          </cell>
        </row>
        <row r="1165">
          <cell r="D1165" t="str">
            <v>LT5804</v>
          </cell>
        </row>
        <row r="1166">
          <cell r="D1166" t="str">
            <v>:8707</v>
          </cell>
        </row>
        <row r="1168">
          <cell r="D1168" t="str">
            <v>NL0002</v>
          </cell>
        </row>
        <row r="1170">
          <cell r="D1170" t="str">
            <v>LT1121</v>
          </cell>
        </row>
        <row r="1171">
          <cell r="D1171" t="str">
            <v>LT1321</v>
          </cell>
        </row>
        <row r="1172">
          <cell r="D1172" t="str">
            <v>LT2222</v>
          </cell>
        </row>
        <row r="1173">
          <cell r="D1173" t="str">
            <v>LT2223</v>
          </cell>
        </row>
        <row r="1174">
          <cell r="D1174" t="str">
            <v>LT2224</v>
          </cell>
        </row>
        <row r="1175">
          <cell r="D1175" t="str">
            <v>LT2122</v>
          </cell>
        </row>
        <row r="1176">
          <cell r="D1176" t="str">
            <v>:8704</v>
          </cell>
        </row>
        <row r="1178">
          <cell r="D1178" t="str">
            <v>NL0002</v>
          </cell>
        </row>
        <row r="1180">
          <cell r="D1180" t="str">
            <v>LT1321</v>
          </cell>
        </row>
        <row r="1181">
          <cell r="D1181" t="str">
            <v>LT2222</v>
          </cell>
        </row>
        <row r="1182">
          <cell r="D1182" t="str">
            <v>LT2223</v>
          </cell>
        </row>
        <row r="1183">
          <cell r="D1183" t="str">
            <v>LT2122</v>
          </cell>
        </row>
        <row r="1184">
          <cell r="D1184" t="str">
            <v>:8705</v>
          </cell>
        </row>
        <row r="1186">
          <cell r="D1186" t="str">
            <v>NL0002</v>
          </cell>
        </row>
        <row r="1188">
          <cell r="D1188" t="str">
            <v>LT1321</v>
          </cell>
        </row>
        <row r="1189">
          <cell r="D1189" t="str">
            <v>LT2222</v>
          </cell>
        </row>
        <row r="1190">
          <cell r="D1190" t="str">
            <v>LT2223</v>
          </cell>
        </row>
        <row r="1191">
          <cell r="D1191" t="str">
            <v>LT2122</v>
          </cell>
        </row>
        <row r="1192">
          <cell r="D1192" t="str">
            <v>:8706</v>
          </cell>
        </row>
        <row r="1194">
          <cell r="D1194" t="str">
            <v>NL0002</v>
          </cell>
        </row>
        <row r="1196">
          <cell r="D1196" t="str">
            <v>LT1321</v>
          </cell>
        </row>
        <row r="1197">
          <cell r="D1197" t="str">
            <v>LT2222</v>
          </cell>
        </row>
        <row r="1198">
          <cell r="D1198" t="str">
            <v>LT2223</v>
          </cell>
        </row>
        <row r="1199">
          <cell r="D1199" t="str">
            <v>LT2122</v>
          </cell>
        </row>
        <row r="1200">
          <cell r="D1200" t="str">
            <v>:8713</v>
          </cell>
        </row>
        <row r="1202">
          <cell r="D1202" t="str">
            <v>NL0002</v>
          </cell>
        </row>
        <row r="1204">
          <cell r="D1204" t="str">
            <v>LT1142</v>
          </cell>
        </row>
        <row r="1205">
          <cell r="D1205" t="str">
            <v>LT1242</v>
          </cell>
        </row>
        <row r="1206">
          <cell r="D1206" t="str">
            <v>LT2223</v>
          </cell>
        </row>
        <row r="1207">
          <cell r="D1207" t="str">
            <v>LT2222</v>
          </cell>
        </row>
        <row r="1208">
          <cell r="D1208" t="str">
            <v>LT2123</v>
          </cell>
        </row>
        <row r="1209">
          <cell r="D1209" t="str">
            <v>LT2124</v>
          </cell>
        </row>
        <row r="1210">
          <cell r="D1210" t="str">
            <v>:8710</v>
          </cell>
        </row>
        <row r="1212">
          <cell r="D1212" t="str">
            <v>NL0002</v>
          </cell>
        </row>
        <row r="1214">
          <cell r="D1214" t="str">
            <v>LT5212</v>
          </cell>
        </row>
        <row r="1215">
          <cell r="D1215" t="str">
            <v>LT5312</v>
          </cell>
        </row>
        <row r="1216">
          <cell r="D1216" t="str">
            <v>LT5412</v>
          </cell>
        </row>
        <row r="1217">
          <cell r="D1217" t="str">
            <v>LT5703</v>
          </cell>
        </row>
        <row r="1218">
          <cell r="D1218" t="str">
            <v>LT5704</v>
          </cell>
        </row>
        <row r="1219">
          <cell r="D1219" t="str">
            <v>LT5803</v>
          </cell>
        </row>
        <row r="1220">
          <cell r="D1220" t="str">
            <v>LT5804</v>
          </cell>
        </row>
        <row r="1221">
          <cell r="D1221" t="str">
            <v>:8711</v>
          </cell>
        </row>
        <row r="1223">
          <cell r="D1223" t="str">
            <v>NL0002</v>
          </cell>
        </row>
        <row r="1225">
          <cell r="D1225" t="str">
            <v>LT6112</v>
          </cell>
        </row>
        <row r="1226">
          <cell r="D1226" t="str">
            <v>LT6212</v>
          </cell>
        </row>
        <row r="1227">
          <cell r="D1227" t="str">
            <v>LT6412</v>
          </cell>
        </row>
        <row r="1228">
          <cell r="D1228" t="str">
            <v>LT6332</v>
          </cell>
        </row>
        <row r="1229">
          <cell r="D1229" t="str">
            <v>LT6512</v>
          </cell>
        </row>
        <row r="1230">
          <cell r="D1230" t="str">
            <v>LT6703</v>
          </cell>
        </row>
        <row r="1231">
          <cell r="D1231" t="str">
            <v>LT6704</v>
          </cell>
        </row>
        <row r="1232">
          <cell r="D1232" t="str">
            <v>LT6803</v>
          </cell>
        </row>
        <row r="1233">
          <cell r="D1233" t="str">
            <v>LT6804</v>
          </cell>
        </row>
        <row r="1234">
          <cell r="D1234" t="str">
            <v>:8714</v>
          </cell>
        </row>
        <row r="1236">
          <cell r="D1236" t="str">
            <v>NL0002</v>
          </cell>
        </row>
        <row r="1238">
          <cell r="D1238" t="str">
            <v>LT5122</v>
          </cell>
        </row>
        <row r="1239">
          <cell r="D1239" t="str">
            <v>LT5322</v>
          </cell>
        </row>
        <row r="1240">
          <cell r="D1240" t="str">
            <v>LT5222</v>
          </cell>
        </row>
        <row r="1241">
          <cell r="D1241" t="str">
            <v>LT5422</v>
          </cell>
        </row>
        <row r="1242">
          <cell r="D1242" t="str">
            <v>LT5522</v>
          </cell>
        </row>
        <row r="1243">
          <cell r="D1243" t="str">
            <v>LT5703</v>
          </cell>
        </row>
        <row r="1244">
          <cell r="D1244" t="str">
            <v>LT5704</v>
          </cell>
        </row>
        <row r="1245">
          <cell r="D1245" t="str">
            <v>LT5803</v>
          </cell>
        </row>
        <row r="1246">
          <cell r="D1246" t="str">
            <v>LT5804</v>
          </cell>
        </row>
        <row r="1247">
          <cell r="D1247" t="str">
            <v>:8712</v>
          </cell>
        </row>
        <row r="1249">
          <cell r="D1249" t="str">
            <v>NL0002</v>
          </cell>
        </row>
        <row r="1251">
          <cell r="D1251" t="str">
            <v>LT5112</v>
          </cell>
        </row>
        <row r="1252">
          <cell r="D1252" t="str">
            <v>LT5312</v>
          </cell>
        </row>
        <row r="1253">
          <cell r="D1253" t="str">
            <v>LT5212</v>
          </cell>
        </row>
        <row r="1254">
          <cell r="D1254" t="str">
            <v>LT5412</v>
          </cell>
        </row>
        <row r="1255">
          <cell r="D1255" t="str">
            <v>LT5512</v>
          </cell>
        </row>
        <row r="1256">
          <cell r="D1256" t="str">
            <v>LT5703</v>
          </cell>
        </row>
        <row r="1257">
          <cell r="D1257" t="str">
            <v>LT5704</v>
          </cell>
        </row>
        <row r="1258">
          <cell r="D1258" t="str">
            <v>LT5803</v>
          </cell>
        </row>
        <row r="1259">
          <cell r="D1259" t="str">
            <v>LT5804</v>
          </cell>
        </row>
        <row r="1260">
          <cell r="D1260" t="str">
            <v>:8713</v>
          </cell>
        </row>
        <row r="1262">
          <cell r="D1262" t="str">
            <v>NL0002</v>
          </cell>
        </row>
        <row r="1264">
          <cell r="D1264" t="str">
            <v>LT5112</v>
          </cell>
        </row>
        <row r="1265">
          <cell r="D1265" t="str">
            <v>LT5312</v>
          </cell>
        </row>
        <row r="1266">
          <cell r="D1266" t="str">
            <v>LT5212</v>
          </cell>
        </row>
        <row r="1267">
          <cell r="D1267" t="str">
            <v>LT5412</v>
          </cell>
        </row>
        <row r="1268">
          <cell r="D1268" t="str">
            <v>LT5512</v>
          </cell>
        </row>
        <row r="1269">
          <cell r="D1269" t="str">
            <v>LT5703</v>
          </cell>
        </row>
        <row r="1270">
          <cell r="D1270" t="str">
            <v>LT5704</v>
          </cell>
        </row>
        <row r="1271">
          <cell r="D1271" t="str">
            <v>LT5803</v>
          </cell>
        </row>
        <row r="1272">
          <cell r="D1272" t="str">
            <v>LT5804</v>
          </cell>
        </row>
        <row r="1273">
          <cell r="D1273" t="str">
            <v>:8716</v>
          </cell>
        </row>
        <row r="1275">
          <cell r="D1275" t="str">
            <v>NL0002</v>
          </cell>
        </row>
        <row r="1277">
          <cell r="D1277" t="str">
            <v>LT5122</v>
          </cell>
        </row>
        <row r="1278">
          <cell r="D1278" t="str">
            <v>LT5222</v>
          </cell>
        </row>
        <row r="1279">
          <cell r="D1279" t="str">
            <v>LT5422</v>
          </cell>
        </row>
        <row r="1280">
          <cell r="D1280" t="str">
            <v>LT5322</v>
          </cell>
        </row>
        <row r="1281">
          <cell r="D1281" t="str">
            <v>LT5522</v>
          </cell>
        </row>
        <row r="1282">
          <cell r="D1282" t="str">
            <v>LT5703</v>
          </cell>
        </row>
        <row r="1283">
          <cell r="D1283" t="str">
            <v>LT5704</v>
          </cell>
        </row>
        <row r="1284">
          <cell r="D1284" t="str">
            <v>LT5803</v>
          </cell>
        </row>
        <row r="1285">
          <cell r="D1285" t="str">
            <v>LT5804</v>
          </cell>
        </row>
        <row r="1286">
          <cell r="D1286">
            <v>0</v>
          </cell>
        </row>
        <row r="1288">
          <cell r="D1288" t="str">
            <v>NL0002</v>
          </cell>
        </row>
        <row r="1290">
          <cell r="D1290" t="str">
            <v>LT5122</v>
          </cell>
        </row>
        <row r="1291">
          <cell r="D1291" t="str">
            <v>LT5222</v>
          </cell>
        </row>
        <row r="1292">
          <cell r="D1292" t="str">
            <v>LT5422</v>
          </cell>
        </row>
        <row r="1293">
          <cell r="D1293" t="str">
            <v>LT5322</v>
          </cell>
        </row>
        <row r="1294">
          <cell r="D1294" t="str">
            <v>LT5522</v>
          </cell>
        </row>
        <row r="1295">
          <cell r="D1295" t="str">
            <v>LT5703</v>
          </cell>
        </row>
        <row r="1296">
          <cell r="D1296" t="str">
            <v>LT5704</v>
          </cell>
        </row>
        <row r="1297">
          <cell r="D1297" t="str">
            <v>LT5803</v>
          </cell>
        </row>
        <row r="1298">
          <cell r="D1298" t="str">
            <v>LT5804</v>
          </cell>
        </row>
        <row r="1299">
          <cell r="D1299" t="str">
            <v>:8717</v>
          </cell>
        </row>
        <row r="1301">
          <cell r="D1301" t="str">
            <v>NL0002</v>
          </cell>
        </row>
        <row r="1303">
          <cell r="D1303" t="str">
            <v>LT5112</v>
          </cell>
        </row>
        <row r="1304">
          <cell r="D1304" t="str">
            <v>LT5312</v>
          </cell>
        </row>
        <row r="1305">
          <cell r="D1305" t="str">
            <v>LT5212</v>
          </cell>
        </row>
        <row r="1306">
          <cell r="D1306" t="str">
            <v>LT5412</v>
          </cell>
        </row>
        <row r="1307">
          <cell r="D1307" t="str">
            <v>LT5512</v>
          </cell>
        </row>
        <row r="1308">
          <cell r="D1308" t="str">
            <v>LT5703</v>
          </cell>
        </row>
        <row r="1309">
          <cell r="D1309" t="str">
            <v>LT5704</v>
          </cell>
        </row>
        <row r="1310">
          <cell r="D1310" t="str">
            <v>LT5803</v>
          </cell>
        </row>
        <row r="1311">
          <cell r="D1311" t="str">
            <v>LT5804</v>
          </cell>
        </row>
        <row r="1312">
          <cell r="D1312" t="str">
            <v>:8715</v>
          </cell>
        </row>
        <row r="1314">
          <cell r="D1314" t="str">
            <v>NL0002</v>
          </cell>
        </row>
        <row r="1316">
          <cell r="D1316" t="str">
            <v>LT5122</v>
          </cell>
        </row>
        <row r="1317">
          <cell r="D1317" t="str">
            <v>LT5322</v>
          </cell>
        </row>
        <row r="1318">
          <cell r="D1318" t="str">
            <v>LT5222</v>
          </cell>
        </row>
        <row r="1319">
          <cell r="D1319" t="str">
            <v>LT5422</v>
          </cell>
        </row>
        <row r="1320">
          <cell r="D1320" t="str">
            <v>LT5522</v>
          </cell>
        </row>
        <row r="1321">
          <cell r="D1321" t="str">
            <v>LT5703</v>
          </cell>
        </row>
        <row r="1322">
          <cell r="D1322" t="str">
            <v>LT5704</v>
          </cell>
        </row>
        <row r="1323">
          <cell r="D1323" t="str">
            <v>LT5803</v>
          </cell>
        </row>
        <row r="1324">
          <cell r="D1324" t="str">
            <v>LT5804</v>
          </cell>
        </row>
        <row r="1325">
          <cell r="D1325" t="str">
            <v>:8718</v>
          </cell>
        </row>
        <row r="1326">
          <cell r="D1326" t="str">
            <v>:8721</v>
          </cell>
        </row>
        <row r="1328">
          <cell r="D1328" t="str">
            <v>NL0002</v>
          </cell>
        </row>
        <row r="1330">
          <cell r="D1330" t="str">
            <v>LT3122</v>
          </cell>
        </row>
        <row r="1331">
          <cell r="D1331" t="str">
            <v>LT3322</v>
          </cell>
        </row>
        <row r="1332">
          <cell r="D1332" t="str">
            <v>LT3222</v>
          </cell>
        </row>
        <row r="1333">
          <cell r="D1333" t="str">
            <v>LT4303</v>
          </cell>
        </row>
        <row r="1334">
          <cell r="D1334" t="str">
            <v>LT4302</v>
          </cell>
        </row>
        <row r="1335">
          <cell r="D1335" t="str">
            <v>LT4103</v>
          </cell>
        </row>
        <row r="1336">
          <cell r="D1336" t="str">
            <v>LT4104</v>
          </cell>
        </row>
        <row r="1337">
          <cell r="D1337" t="str">
            <v>:8720</v>
          </cell>
        </row>
        <row r="1339">
          <cell r="D1339" t="str">
            <v>NL0002</v>
          </cell>
        </row>
        <row r="1341">
          <cell r="D1341" t="str">
            <v>LT1122</v>
          </cell>
        </row>
        <row r="1342">
          <cell r="D1342" t="str">
            <v>LT1221</v>
          </cell>
        </row>
        <row r="1343">
          <cell r="D1343" t="str">
            <v>LT2222</v>
          </cell>
        </row>
        <row r="1344">
          <cell r="D1344" t="str">
            <v>LT2223</v>
          </cell>
        </row>
        <row r="1345">
          <cell r="D1345" t="str">
            <v>LT2122</v>
          </cell>
        </row>
        <row r="1346">
          <cell r="D1346" t="str">
            <v>LT2123</v>
          </cell>
        </row>
        <row r="1347">
          <cell r="D1347" t="str">
            <v>:8722</v>
          </cell>
        </row>
        <row r="1349">
          <cell r="D1349" t="str">
            <v>NL0002</v>
          </cell>
        </row>
        <row r="1351">
          <cell r="D1351" t="str">
            <v>LT1132</v>
          </cell>
        </row>
        <row r="1352">
          <cell r="D1352" t="str">
            <v>LT1231</v>
          </cell>
        </row>
        <row r="1353">
          <cell r="D1353" t="str">
            <v>LT2222</v>
          </cell>
        </row>
        <row r="1354">
          <cell r="D1354" t="str">
            <v>LT2223</v>
          </cell>
        </row>
        <row r="1355">
          <cell r="D1355" t="str">
            <v>LT2122</v>
          </cell>
        </row>
        <row r="1356">
          <cell r="D1356" t="str">
            <v>LT2123</v>
          </cell>
        </row>
        <row r="1357">
          <cell r="D1357" t="str">
            <v>:8719</v>
          </cell>
        </row>
        <row r="1359">
          <cell r="D1359" t="str">
            <v>NL0002</v>
          </cell>
        </row>
        <row r="1361">
          <cell r="D1361" t="str">
            <v>LT1121</v>
          </cell>
        </row>
        <row r="1362">
          <cell r="D1362" t="str">
            <v>LT2222</v>
          </cell>
        </row>
        <row r="1363">
          <cell r="D1363" t="str">
            <v>LT2223</v>
          </cell>
        </row>
        <row r="1364">
          <cell r="D1364" t="str">
            <v>LT2122</v>
          </cell>
        </row>
        <row r="1365">
          <cell r="D1365" t="str">
            <v>:8724</v>
          </cell>
        </row>
        <row r="1367">
          <cell r="D1367" t="str">
            <v>NL0003</v>
          </cell>
        </row>
        <row r="1369">
          <cell r="D1369" t="str">
            <v>LM1104</v>
          </cell>
        </row>
        <row r="1370">
          <cell r="D1370" t="str">
            <v>:8725</v>
          </cell>
        </row>
        <row r="1372">
          <cell r="D1372" t="str">
            <v>NL0003</v>
          </cell>
        </row>
        <row r="1374">
          <cell r="D1374" t="str">
            <v>LM1103</v>
          </cell>
        </row>
        <row r="1375">
          <cell r="D1375" t="str">
            <v>:8727</v>
          </cell>
        </row>
        <row r="1377">
          <cell r="D1377" t="str">
            <v>NL0003</v>
          </cell>
        </row>
        <row r="1379">
          <cell r="D1379" t="str">
            <v>LM1103</v>
          </cell>
        </row>
        <row r="1380">
          <cell r="D1380" t="str">
            <v>:8726</v>
          </cell>
        </row>
        <row r="1382">
          <cell r="D1382" t="str">
            <v>NL0003</v>
          </cell>
        </row>
        <row r="1384">
          <cell r="D1384" t="str">
            <v>LM1103</v>
          </cell>
        </row>
        <row r="1385">
          <cell r="D1385" t="str">
            <v>:8728</v>
          </cell>
        </row>
        <row r="1387">
          <cell r="D1387" t="str">
            <v>NL0003</v>
          </cell>
        </row>
        <row r="1389">
          <cell r="D1389" t="str">
            <v>LM1103</v>
          </cell>
        </row>
        <row r="1390">
          <cell r="D1390" t="str">
            <v>:8729</v>
          </cell>
        </row>
        <row r="1392">
          <cell r="D1392" t="str">
            <v>NL0003</v>
          </cell>
        </row>
        <row r="1394">
          <cell r="D1394" t="str">
            <v>LM1104</v>
          </cell>
        </row>
        <row r="1395">
          <cell r="D1395" t="str">
            <v>LM1105</v>
          </cell>
        </row>
        <row r="1396">
          <cell r="D1396" t="str">
            <v>:8730</v>
          </cell>
        </row>
        <row r="1398">
          <cell r="D1398" t="str">
            <v>NL0003</v>
          </cell>
        </row>
        <row r="1400">
          <cell r="D1400" t="str">
            <v>LM1103</v>
          </cell>
        </row>
        <row r="1401">
          <cell r="D1401" t="str">
            <v>:8731</v>
          </cell>
        </row>
        <row r="1403">
          <cell r="D1403" t="str">
            <v>NL0001</v>
          </cell>
        </row>
        <row r="1405">
          <cell r="D1405" t="str">
            <v>LM1104</v>
          </cell>
        </row>
        <row r="1406">
          <cell r="D1406" t="str">
            <v>:8735</v>
          </cell>
        </row>
        <row r="1408">
          <cell r="D1408" t="str">
            <v>LT7101</v>
          </cell>
        </row>
        <row r="1409">
          <cell r="D1409" t="str">
            <v>LT7202</v>
          </cell>
        </row>
        <row r="1410">
          <cell r="D1410" t="str">
            <v>:8732</v>
          </cell>
        </row>
        <row r="1412">
          <cell r="D1412" t="str">
            <v>LM1104</v>
          </cell>
        </row>
        <row r="1413">
          <cell r="D1413" t="str">
            <v>:8733</v>
          </cell>
        </row>
        <row r="1415">
          <cell r="D1415" t="str">
            <v>LM1103</v>
          </cell>
        </row>
        <row r="1416">
          <cell r="D1416" t="str">
            <v>:8734</v>
          </cell>
        </row>
        <row r="1418">
          <cell r="D1418" t="str">
            <v>LM1104</v>
          </cell>
        </row>
        <row r="1419">
          <cell r="D1419" t="str">
            <v>:8735</v>
          </cell>
        </row>
        <row r="1421">
          <cell r="D1421" t="str">
            <v>LT7101</v>
          </cell>
        </row>
        <row r="1422">
          <cell r="D1422" t="str">
            <v>LT7202</v>
          </cell>
        </row>
        <row r="1423">
          <cell r="D1423" t="str">
            <v>:8736</v>
          </cell>
        </row>
        <row r="1425">
          <cell r="D1425" t="str">
            <v>NL0003</v>
          </cell>
        </row>
        <row r="1427">
          <cell r="D1427" t="str">
            <v>LM1103</v>
          </cell>
        </row>
        <row r="1428">
          <cell r="D1428" t="str">
            <v>LM1105</v>
          </cell>
        </row>
        <row r="1429">
          <cell r="D1429" t="str">
            <v>:8743</v>
          </cell>
        </row>
        <row r="1431">
          <cell r="D1431" t="str">
            <v>NL0003</v>
          </cell>
        </row>
        <row r="1433">
          <cell r="D1433" t="str">
            <v>LM1103</v>
          </cell>
        </row>
        <row r="1434">
          <cell r="D1434" t="str">
            <v>LM1104</v>
          </cell>
        </row>
        <row r="1435">
          <cell r="D1435" t="str">
            <v>LM1105</v>
          </cell>
        </row>
        <row r="1436">
          <cell r="D1436" t="str">
            <v>LM1106</v>
          </cell>
        </row>
        <row r="1437">
          <cell r="D1437">
            <v>0</v>
          </cell>
        </row>
        <row r="1439">
          <cell r="D1439" t="str">
            <v>NL0003</v>
          </cell>
        </row>
        <row r="1441">
          <cell r="D1441" t="str">
            <v>LM1103</v>
          </cell>
        </row>
        <row r="1442">
          <cell r="D1442" t="str">
            <v>LM1105</v>
          </cell>
        </row>
        <row r="1443">
          <cell r="D1443" t="str">
            <v>:8738</v>
          </cell>
        </row>
        <row r="1445">
          <cell r="D1445" t="str">
            <v>NL0003</v>
          </cell>
        </row>
        <row r="1447">
          <cell r="D1447" t="str">
            <v>LM1103</v>
          </cell>
        </row>
        <row r="1448">
          <cell r="D1448" t="str">
            <v>LM1105</v>
          </cell>
        </row>
        <row r="1449">
          <cell r="D1449" t="str">
            <v>:8739</v>
          </cell>
        </row>
        <row r="1451">
          <cell r="D1451" t="str">
            <v>NL0003</v>
          </cell>
        </row>
        <row r="1453">
          <cell r="D1453" t="str">
            <v>LM1103</v>
          </cell>
        </row>
        <row r="1454">
          <cell r="D1454" t="str">
            <v>LM1105</v>
          </cell>
        </row>
        <row r="1455">
          <cell r="D1455" t="str">
            <v>:8740</v>
          </cell>
        </row>
        <row r="1457">
          <cell r="D1457" t="str">
            <v>NL0003</v>
          </cell>
        </row>
        <row r="1459">
          <cell r="D1459" t="str">
            <v>LM1103</v>
          </cell>
        </row>
        <row r="1460">
          <cell r="D1460" t="str">
            <v>LM1105</v>
          </cell>
        </row>
        <row r="1461">
          <cell r="D1461" t="str">
            <v>:8744</v>
          </cell>
        </row>
        <row r="1463">
          <cell r="D1463" t="str">
            <v>NL0003</v>
          </cell>
        </row>
        <row r="1465">
          <cell r="D1465" t="str">
            <v>LM1103</v>
          </cell>
        </row>
        <row r="1466">
          <cell r="D1466" t="str">
            <v>LM1104</v>
          </cell>
        </row>
        <row r="1467">
          <cell r="D1467" t="str">
            <v>LM1105</v>
          </cell>
        </row>
        <row r="1468">
          <cell r="D1468" t="str">
            <v>LM1106</v>
          </cell>
        </row>
        <row r="1469">
          <cell r="D1469" t="str">
            <v>:8745</v>
          </cell>
        </row>
        <row r="1471">
          <cell r="D1471" t="str">
            <v>NL0003</v>
          </cell>
        </row>
        <row r="1473">
          <cell r="D1473" t="str">
            <v>LM1103</v>
          </cell>
        </row>
        <row r="1474">
          <cell r="D1474" t="str">
            <v>LM1104</v>
          </cell>
        </row>
        <row r="1475">
          <cell r="D1475" t="str">
            <v>LM1105</v>
          </cell>
        </row>
        <row r="1476">
          <cell r="D1476" t="str">
            <v>LM1106</v>
          </cell>
        </row>
        <row r="1477">
          <cell r="D1477" t="str">
            <v>:8741</v>
          </cell>
        </row>
        <row r="1479">
          <cell r="D1479" t="str">
            <v>NL0003</v>
          </cell>
        </row>
        <row r="1481">
          <cell r="D1481" t="str">
            <v>LM1103</v>
          </cell>
        </row>
        <row r="1482">
          <cell r="D1482" t="str">
            <v>LM1104</v>
          </cell>
        </row>
        <row r="1483">
          <cell r="D1483" t="str">
            <v>LM1106</v>
          </cell>
        </row>
        <row r="1484">
          <cell r="D1484" t="str">
            <v>:8742</v>
          </cell>
        </row>
        <row r="1486">
          <cell r="D1486" t="str">
            <v>NL0003</v>
          </cell>
        </row>
        <row r="1488">
          <cell r="D1488" t="str">
            <v>LM1103</v>
          </cell>
        </row>
        <row r="1489">
          <cell r="D1489" t="str">
            <v>LM1104</v>
          </cell>
        </row>
        <row r="1490">
          <cell r="D1490" t="str">
            <v>LM1106</v>
          </cell>
        </row>
        <row r="1491">
          <cell r="D1491" t="str">
            <v>:8687</v>
          </cell>
        </row>
        <row r="1493">
          <cell r="D1493" t="str">
            <v>NL0003</v>
          </cell>
        </row>
        <row r="1495">
          <cell r="D1495" t="str">
            <v>LM1103</v>
          </cell>
        </row>
        <row r="1496">
          <cell r="D1496" t="str">
            <v>:8688</v>
          </cell>
        </row>
        <row r="1498">
          <cell r="D1498" t="str">
            <v>NL0003</v>
          </cell>
        </row>
        <row r="1500">
          <cell r="D1500" t="str">
            <v>LM1103</v>
          </cell>
        </row>
        <row r="1501">
          <cell r="D1501" t="str">
            <v>:8689</v>
          </cell>
        </row>
        <row r="1503">
          <cell r="D1503" t="str">
            <v>NL0003</v>
          </cell>
        </row>
        <row r="1505">
          <cell r="D1505" t="str">
            <v>LM1103</v>
          </cell>
        </row>
        <row r="1506">
          <cell r="D1506" t="str">
            <v>:8747</v>
          </cell>
        </row>
        <row r="1508">
          <cell r="D1508" t="str">
            <v>LT2122</v>
          </cell>
        </row>
        <row r="1509">
          <cell r="D1509" t="str">
            <v>:8748</v>
          </cell>
        </row>
        <row r="1511">
          <cell r="D1511" t="str">
            <v>LT2122</v>
          </cell>
        </row>
        <row r="1512">
          <cell r="D1512" t="str">
            <v>:8750</v>
          </cell>
        </row>
        <row r="1514">
          <cell r="D1514" t="str">
            <v>LT2122</v>
          </cell>
        </row>
        <row r="1515">
          <cell r="D1515" t="str">
            <v>:8752</v>
          </cell>
        </row>
        <row r="1517">
          <cell r="D1517" t="str">
            <v>LT2122</v>
          </cell>
        </row>
        <row r="1518">
          <cell r="D1518" t="str">
            <v>:8751</v>
          </cell>
        </row>
        <row r="1520">
          <cell r="D1520" t="str">
            <v>LT2122</v>
          </cell>
        </row>
        <row r="1521">
          <cell r="D1521" t="str">
            <v>:8753</v>
          </cell>
        </row>
        <row r="1523">
          <cell r="D1523" t="str">
            <v>LM1104</v>
          </cell>
        </row>
        <row r="1524">
          <cell r="D1524" t="str">
            <v>LM1105</v>
          </cell>
        </row>
        <row r="1525">
          <cell r="D1525" t="str">
            <v>:8754</v>
          </cell>
        </row>
        <row r="1527">
          <cell r="D1527" t="str">
            <v>LM1104</v>
          </cell>
        </row>
        <row r="1528">
          <cell r="D1528" t="str">
            <v>LM1105</v>
          </cell>
        </row>
        <row r="1529">
          <cell r="D1529" t="str">
            <v>:9148</v>
          </cell>
        </row>
        <row r="1531">
          <cell r="D1531" t="str">
            <v>NL0003</v>
          </cell>
        </row>
        <row r="1533">
          <cell r="D1533" t="str">
            <v>LM1103</v>
          </cell>
        </row>
        <row r="1534">
          <cell r="D1534" t="str">
            <v>:9009</v>
          </cell>
        </row>
        <row r="1536">
          <cell r="D1536" t="str">
            <v>NL0003</v>
          </cell>
        </row>
        <row r="1538">
          <cell r="D1538" t="str">
            <v>LM1104</v>
          </cell>
        </row>
        <row r="1539">
          <cell r="D1539" t="str">
            <v>:9013</v>
          </cell>
        </row>
        <row r="1541">
          <cell r="D1541" t="str">
            <v>NL0003</v>
          </cell>
        </row>
        <row r="1543">
          <cell r="D1543" t="str">
            <v>LM1104</v>
          </cell>
        </row>
        <row r="1544">
          <cell r="D1544" t="str">
            <v>:9011</v>
          </cell>
        </row>
        <row r="1546">
          <cell r="D1546" t="str">
            <v>NL0003</v>
          </cell>
        </row>
        <row r="1548">
          <cell r="D1548" t="str">
            <v>LM1104</v>
          </cell>
        </row>
        <row r="1549">
          <cell r="D1549" t="str">
            <v>:9011</v>
          </cell>
        </row>
        <row r="1551">
          <cell r="D1551" t="str">
            <v>NL0003</v>
          </cell>
        </row>
        <row r="1553">
          <cell r="D1553" t="str">
            <v>LM1104</v>
          </cell>
        </row>
        <row r="1554">
          <cell r="D1554" t="str">
            <v>:9014</v>
          </cell>
        </row>
        <row r="1556">
          <cell r="D1556" t="str">
            <v>LM1104</v>
          </cell>
        </row>
        <row r="1557">
          <cell r="D1557" t="str">
            <v>:9010</v>
          </cell>
        </row>
        <row r="1559">
          <cell r="D1559" t="str">
            <v>NL0003</v>
          </cell>
        </row>
        <row r="1561">
          <cell r="D1561" t="str">
            <v>LM1104</v>
          </cell>
        </row>
        <row r="1562">
          <cell r="D1562" t="str">
            <v>:9023</v>
          </cell>
        </row>
        <row r="1563">
          <cell r="D1563" t="str">
            <v>:9015</v>
          </cell>
        </row>
        <row r="1565">
          <cell r="D1565" t="str">
            <v>NL0003</v>
          </cell>
        </row>
        <row r="1567">
          <cell r="D1567" t="str">
            <v>LM1103</v>
          </cell>
        </row>
        <row r="1568">
          <cell r="D1568" t="str">
            <v>LM1104</v>
          </cell>
        </row>
        <row r="1569">
          <cell r="D1569" t="str">
            <v>:9022</v>
          </cell>
        </row>
        <row r="1571">
          <cell r="D1571" t="str">
            <v>NL0003</v>
          </cell>
        </row>
        <row r="1573">
          <cell r="D1573" t="str">
            <v>LM1103</v>
          </cell>
        </row>
        <row r="1574">
          <cell r="D1574" t="str">
            <v>LM1104</v>
          </cell>
        </row>
        <row r="1575">
          <cell r="D1575" t="str">
            <v>:9017</v>
          </cell>
        </row>
        <row r="1577">
          <cell r="D1577" t="str">
            <v>NL0003</v>
          </cell>
        </row>
        <row r="1579">
          <cell r="D1579" t="str">
            <v>LM1103</v>
          </cell>
        </row>
        <row r="1580">
          <cell r="D1580" t="str">
            <v>:9018</v>
          </cell>
        </row>
        <row r="1582">
          <cell r="D1582" t="str">
            <v>NL0003</v>
          </cell>
        </row>
        <row r="1584">
          <cell r="D1584" t="str">
            <v>LM1103</v>
          </cell>
        </row>
        <row r="1585">
          <cell r="D1585" t="str">
            <v>:9015</v>
          </cell>
        </row>
        <row r="1587">
          <cell r="D1587" t="str">
            <v>NL0003</v>
          </cell>
        </row>
        <row r="1589">
          <cell r="D1589" t="str">
            <v>LM1103</v>
          </cell>
        </row>
        <row r="1590">
          <cell r="D1590" t="str">
            <v>LM1104</v>
          </cell>
        </row>
        <row r="1591">
          <cell r="D1591" t="str">
            <v>:9021</v>
          </cell>
        </row>
        <row r="1593">
          <cell r="D1593" t="str">
            <v>NL0001</v>
          </cell>
        </row>
        <row r="1595">
          <cell r="D1595" t="str">
            <v>LM1103</v>
          </cell>
        </row>
        <row r="1596">
          <cell r="D1596" t="str">
            <v>LM1104</v>
          </cell>
        </row>
        <row r="1597">
          <cell r="D1597" t="str">
            <v>LM1106</v>
          </cell>
        </row>
        <row r="1598">
          <cell r="D1598" t="str">
            <v>LM1107</v>
          </cell>
        </row>
        <row r="1599">
          <cell r="D1599" t="str">
            <v>:9016</v>
          </cell>
        </row>
        <row r="1601">
          <cell r="D1601" t="str">
            <v>NL0003</v>
          </cell>
        </row>
        <row r="1603">
          <cell r="D1603" t="str">
            <v>LM1103</v>
          </cell>
        </row>
        <row r="1604">
          <cell r="D1604" t="str">
            <v>:9020</v>
          </cell>
        </row>
        <row r="1606">
          <cell r="D1606" t="str">
            <v>NL0002</v>
          </cell>
        </row>
        <row r="1608">
          <cell r="D1608" t="str">
            <v>LM1103</v>
          </cell>
        </row>
        <row r="1609">
          <cell r="D1609" t="str">
            <v>LM1104</v>
          </cell>
        </row>
        <row r="1610">
          <cell r="D1610" t="str">
            <v>LM1106</v>
          </cell>
        </row>
        <row r="1611">
          <cell r="D1611" t="str">
            <v>:9019</v>
          </cell>
        </row>
        <row r="1613">
          <cell r="D1613" t="str">
            <v>NL0002</v>
          </cell>
        </row>
        <row r="1615">
          <cell r="D1615" t="str">
            <v>LM1103</v>
          </cell>
        </row>
        <row r="1616">
          <cell r="D1616" t="str">
            <v>LM1104</v>
          </cell>
        </row>
        <row r="1617">
          <cell r="D1617" t="str">
            <v>:8620</v>
          </cell>
        </row>
        <row r="1619">
          <cell r="D1619" t="str">
            <v>NL0003</v>
          </cell>
        </row>
        <row r="1621">
          <cell r="D1621" t="str">
            <v>LM1103</v>
          </cell>
        </row>
        <row r="1622">
          <cell r="D1622" t="str">
            <v>:9024</v>
          </cell>
        </row>
        <row r="1624">
          <cell r="D1624" t="str">
            <v>NL0002</v>
          </cell>
        </row>
        <row r="1626">
          <cell r="D1626" t="str">
            <v>LM1105</v>
          </cell>
        </row>
        <row r="1627">
          <cell r="D1627" t="str">
            <v>:9025</v>
          </cell>
        </row>
        <row r="1629">
          <cell r="D1629" t="str">
            <v>NL0002</v>
          </cell>
        </row>
        <row r="1631">
          <cell r="D1631" t="str">
            <v>LM1104</v>
          </cell>
        </row>
        <row r="1632">
          <cell r="D1632" t="str">
            <v>LM1105</v>
          </cell>
        </row>
        <row r="1633">
          <cell r="D1633" t="str">
            <v>LM1106</v>
          </cell>
        </row>
        <row r="1634">
          <cell r="D1634" t="str">
            <v>:9027</v>
          </cell>
        </row>
        <row r="1636">
          <cell r="D1636" t="str">
            <v>NL0002</v>
          </cell>
        </row>
        <row r="1638">
          <cell r="D1638" t="str">
            <v>LM1104</v>
          </cell>
        </row>
        <row r="1639">
          <cell r="D1639" t="str">
            <v>:9026</v>
          </cell>
        </row>
        <row r="1641">
          <cell r="D1641" t="str">
            <v>NL0002</v>
          </cell>
        </row>
        <row r="1643">
          <cell r="D1643" t="str">
            <v>LM1104</v>
          </cell>
        </row>
        <row r="1644">
          <cell r="D1644" t="str">
            <v>:9028</v>
          </cell>
        </row>
        <row r="1646">
          <cell r="D1646" t="str">
            <v>NL0002</v>
          </cell>
        </row>
        <row r="1648">
          <cell r="D1648" t="str">
            <v>LM1104</v>
          </cell>
        </row>
        <row r="1649">
          <cell r="D1649" t="str">
            <v>LM1105</v>
          </cell>
        </row>
        <row r="1650">
          <cell r="D1650" t="str">
            <v>:9029</v>
          </cell>
        </row>
        <row r="1652">
          <cell r="D1652" t="str">
            <v>NL0003</v>
          </cell>
        </row>
        <row r="1654">
          <cell r="D1654" t="str">
            <v>LM1103</v>
          </cell>
        </row>
        <row r="1655">
          <cell r="D1655" t="str">
            <v>:9030</v>
          </cell>
        </row>
        <row r="1657">
          <cell r="D1657" t="str">
            <v>NL0003</v>
          </cell>
        </row>
        <row r="1659">
          <cell r="D1659" t="str">
            <v>LM1103</v>
          </cell>
        </row>
        <row r="1660">
          <cell r="D1660" t="str">
            <v>:9031</v>
          </cell>
        </row>
        <row r="1661">
          <cell r="D1661" t="str">
            <v>:9013</v>
          </cell>
        </row>
        <row r="1663">
          <cell r="D1663" t="str">
            <v>NL0003</v>
          </cell>
        </row>
        <row r="1665">
          <cell r="D1665" t="str">
            <v>LM1104</v>
          </cell>
        </row>
        <row r="1666">
          <cell r="D1666" t="str">
            <v>:9008</v>
          </cell>
        </row>
        <row r="1668">
          <cell r="D1668" t="str">
            <v>NL0003</v>
          </cell>
        </row>
        <row r="1670">
          <cell r="D1670" t="str">
            <v>LM1104</v>
          </cell>
        </row>
        <row r="1671">
          <cell r="D1671" t="str">
            <v>:9006</v>
          </cell>
        </row>
        <row r="1673">
          <cell r="D1673" t="str">
            <v>NL0002</v>
          </cell>
        </row>
        <row r="1675">
          <cell r="D1675" t="str">
            <v>LM1104</v>
          </cell>
        </row>
        <row r="1676">
          <cell r="D1676" t="str">
            <v>:9007</v>
          </cell>
        </row>
        <row r="1678">
          <cell r="D1678" t="str">
            <v>NL0003</v>
          </cell>
        </row>
        <row r="1680">
          <cell r="D1680" t="str">
            <v>LM1103</v>
          </cell>
        </row>
        <row r="1681">
          <cell r="D1681" t="str">
            <v>:9001</v>
          </cell>
        </row>
        <row r="1683">
          <cell r="D1683" t="str">
            <v>NL0002</v>
          </cell>
        </row>
        <row r="1685">
          <cell r="D1685" t="str">
            <v>LX1201</v>
          </cell>
        </row>
        <row r="1686">
          <cell r="D1686" t="str">
            <v>LX1203</v>
          </cell>
        </row>
        <row r="1687">
          <cell r="D1687" t="str">
            <v>:9003</v>
          </cell>
        </row>
        <row r="1689">
          <cell r="D1689" t="str">
            <v>NL0002</v>
          </cell>
        </row>
        <row r="1691">
          <cell r="D1691" t="str">
            <v>LM1103</v>
          </cell>
        </row>
        <row r="1692">
          <cell r="D1692" t="str">
            <v>LM1105</v>
          </cell>
        </row>
        <row r="1693">
          <cell r="D1693" t="str">
            <v>:9002</v>
          </cell>
        </row>
        <row r="1695">
          <cell r="D1695" t="str">
            <v>NL0002</v>
          </cell>
        </row>
        <row r="1697">
          <cell r="D1697" t="str">
            <v>LX1201</v>
          </cell>
        </row>
        <row r="1698">
          <cell r="D1698" t="str">
            <v>LX1203</v>
          </cell>
        </row>
        <row r="1699">
          <cell r="D1699" t="str">
            <v>:9000</v>
          </cell>
        </row>
        <row r="1701">
          <cell r="D1701" t="str">
            <v>NL0002</v>
          </cell>
        </row>
        <row r="1703">
          <cell r="D1703" t="str">
            <v>LX1202</v>
          </cell>
        </row>
        <row r="1704">
          <cell r="D1704" t="str">
            <v>:9032</v>
          </cell>
        </row>
        <row r="1706">
          <cell r="D1706" t="str">
            <v>NL0003</v>
          </cell>
        </row>
        <row r="1708">
          <cell r="D1708" t="str">
            <v>LM1103</v>
          </cell>
        </row>
        <row r="1709">
          <cell r="D1709" t="str">
            <v>:9033</v>
          </cell>
        </row>
        <row r="1711">
          <cell r="D1711" t="str">
            <v>NL0002</v>
          </cell>
        </row>
        <row r="1713">
          <cell r="D1713" t="str">
            <v>LX1203</v>
          </cell>
        </row>
      </sheetData>
      <sheetData sheetId="6">
        <row r="4">
          <cell r="B4" t="str">
            <v>NL0001</v>
          </cell>
          <cell r="C4" t="str">
            <v>X¨ng</v>
          </cell>
          <cell r="D4" t="str">
            <v>®/lÝt</v>
          </cell>
          <cell r="G4">
            <v>8858</v>
          </cell>
          <cell r="H4">
            <v>19300</v>
          </cell>
          <cell r="I4">
            <v>0.03</v>
          </cell>
        </row>
        <row r="5">
          <cell r="B5" t="str">
            <v>NL0002</v>
          </cell>
          <cell r="C5" t="str">
            <v>DÇu Diezen</v>
          </cell>
          <cell r="D5" t="str">
            <v>®/lÝt</v>
          </cell>
          <cell r="G5">
            <v>7143</v>
          </cell>
          <cell r="H5">
            <v>18300</v>
          </cell>
          <cell r="I5">
            <v>0.05</v>
          </cell>
        </row>
        <row r="6">
          <cell r="B6" t="str">
            <v>NL0003</v>
          </cell>
          <cell r="C6" t="str">
            <v>§iÖn</v>
          </cell>
          <cell r="D6" t="str">
            <v>®/kWh</v>
          </cell>
          <cell r="G6">
            <v>895</v>
          </cell>
          <cell r="H6">
            <v>1242</v>
          </cell>
          <cell r="I6">
            <v>0.07</v>
          </cell>
        </row>
        <row r="7">
          <cell r="B7" t="str">
            <v>NL0004</v>
          </cell>
          <cell r="C7" t="str">
            <v>DÇu Mazut</v>
          </cell>
          <cell r="D7" t="str">
            <v>®/kg</v>
          </cell>
          <cell r="G7">
            <v>4727</v>
          </cell>
          <cell r="H7">
            <v>14800</v>
          </cell>
        </row>
        <row r="23">
          <cell r="B23" t="str">
            <v>NL0001</v>
          </cell>
          <cell r="C23" t="str">
            <v>X¨ng (Kp=0,03)</v>
          </cell>
          <cell r="D23" t="str">
            <v>lÝt</v>
          </cell>
          <cell r="E23">
            <v>0</v>
          </cell>
          <cell r="F23" t="str">
            <v>KHONG</v>
          </cell>
          <cell r="G23">
            <v>8858</v>
          </cell>
          <cell r="H23">
            <v>19300</v>
          </cell>
          <cell r="I23">
            <v>10442</v>
          </cell>
          <cell r="J23">
            <v>0</v>
          </cell>
        </row>
        <row r="24">
          <cell r="B24" t="str">
            <v>NL0002</v>
          </cell>
          <cell r="C24" t="str">
            <v>DÇu Diezen (Kp=0,05)</v>
          </cell>
          <cell r="D24" t="str">
            <v>lÝt</v>
          </cell>
          <cell r="E24">
            <v>48.509084</v>
          </cell>
          <cell r="F24">
            <v>48.509084</v>
          </cell>
          <cell r="G24">
            <v>7143</v>
          </cell>
          <cell r="H24">
            <v>18300</v>
          </cell>
          <cell r="I24">
            <v>11157</v>
          </cell>
          <cell r="J24">
            <v>568276.6426974001</v>
          </cell>
        </row>
        <row r="25">
          <cell r="B25" t="str">
            <v>NL0003</v>
          </cell>
          <cell r="C25" t="str">
            <v>§iÖn (Kp=0,07)</v>
          </cell>
          <cell r="D25" t="str">
            <v>kWh</v>
          </cell>
          <cell r="E25">
            <v>3864.43363313</v>
          </cell>
          <cell r="F25">
            <v>3864.43363313</v>
          </cell>
          <cell r="G25">
            <v>895</v>
          </cell>
          <cell r="H25">
            <v>1242</v>
          </cell>
          <cell r="I25">
            <v>347</v>
          </cell>
          <cell r="J25">
            <v>1434825.5636448378</v>
          </cell>
        </row>
        <row r="33">
          <cell r="B33" t="str">
            <v>MVT</v>
          </cell>
          <cell r="C33" t="str">
            <v>THî §IÒU KHIÓN M¸Y</v>
          </cell>
          <cell r="D33" t="str">
            <v>§¥N VÞ</v>
          </cell>
          <cell r="E33" t="str">
            <v>KL1</v>
          </cell>
          <cell r="F33" t="str">
            <v>KHèI L¦îNG</v>
          </cell>
          <cell r="G33" t="str">
            <v>gi¸
GèC</v>
          </cell>
          <cell r="H33" t="str">
            <v>gi¸
THùC TÕ</v>
          </cell>
          <cell r="I33" t="str">
            <v>CH£NH LÖCH</v>
          </cell>
          <cell r="J33" t="str">
            <v>THµNH TIÒN</v>
          </cell>
        </row>
        <row r="34">
          <cell r="B34" t="str">
            <v>LM1101</v>
          </cell>
          <cell r="C34" t="str">
            <v>Thî ®iÒu khiÓn m¸y bËc 1/7</v>
          </cell>
          <cell r="D34" t="str">
            <v>c«ng</v>
          </cell>
          <cell r="E34">
            <v>0</v>
          </cell>
          <cell r="F34" t="str">
            <v>KHONG</v>
          </cell>
          <cell r="G34">
            <v>31018</v>
          </cell>
          <cell r="H34">
            <v>64695</v>
          </cell>
          <cell r="I34">
            <v>33677</v>
          </cell>
          <cell r="J34">
            <v>0</v>
          </cell>
        </row>
        <row r="35">
          <cell r="B35" t="str">
            <v>LM1102</v>
          </cell>
          <cell r="C35" t="str">
            <v>Thî ®iÒu khiÓn m¸y bËc 2/7</v>
          </cell>
          <cell r="D35" t="str">
            <v>c«ng</v>
          </cell>
          <cell r="E35">
            <v>0</v>
          </cell>
          <cell r="F35" t="str">
            <v>KHONG</v>
          </cell>
          <cell r="G35">
            <v>35937</v>
          </cell>
          <cell r="H35">
            <v>74954</v>
          </cell>
          <cell r="I35">
            <v>39017</v>
          </cell>
          <cell r="J35">
            <v>0</v>
          </cell>
        </row>
        <row r="36">
          <cell r="B36" t="str">
            <v>LM1103</v>
          </cell>
          <cell r="C36" t="str">
            <v>Thî ®iÒu khiÓn m¸y bËc 3/7</v>
          </cell>
          <cell r="D36" t="str">
            <v>c«ng</v>
          </cell>
          <cell r="E36">
            <v>158.916406</v>
          </cell>
          <cell r="F36">
            <v>158.916406</v>
          </cell>
          <cell r="G36">
            <v>41873</v>
          </cell>
          <cell r="H36">
            <v>87336</v>
          </cell>
          <cell r="I36">
            <v>45463</v>
          </cell>
          <cell r="J36">
            <v>7224816.565978</v>
          </cell>
        </row>
        <row r="37">
          <cell r="B37" t="str">
            <v>LM1104</v>
          </cell>
          <cell r="C37" t="str">
            <v>Thî ®iÒu khiÓn m¸y bËc 4/7</v>
          </cell>
          <cell r="D37" t="str">
            <v>c«ng</v>
          </cell>
          <cell r="E37">
            <v>39.18208500000001</v>
          </cell>
          <cell r="F37">
            <v>39.18208500000001</v>
          </cell>
          <cell r="G37">
            <v>48658</v>
          </cell>
          <cell r="H37">
            <v>101487</v>
          </cell>
          <cell r="I37">
            <v>52829</v>
          </cell>
          <cell r="J37">
            <v>2069950.3684650003</v>
          </cell>
        </row>
        <row r="38">
          <cell r="B38" t="str">
            <v>LM1105</v>
          </cell>
          <cell r="C38" t="str">
            <v>Thî ®iÒu khiÓn m¸y bËc 5/7</v>
          </cell>
          <cell r="D38" t="str">
            <v>c«ng</v>
          </cell>
          <cell r="E38">
            <v>0.664508</v>
          </cell>
          <cell r="F38">
            <v>0.664508</v>
          </cell>
          <cell r="G38">
            <v>56800</v>
          </cell>
          <cell r="H38">
            <v>118468</v>
          </cell>
          <cell r="I38">
            <v>61668</v>
          </cell>
          <cell r="J38">
            <v>40978.879344</v>
          </cell>
        </row>
        <row r="39">
          <cell r="B39" t="str">
            <v>LM1106</v>
          </cell>
          <cell r="C39" t="str">
            <v>Thî ®iÒu khiÓn m¸y bËc 6/7</v>
          </cell>
          <cell r="D39" t="str">
            <v>c«ng</v>
          </cell>
          <cell r="E39">
            <v>0.13176000000000002</v>
          </cell>
          <cell r="F39">
            <v>0.13176000000000002</v>
          </cell>
          <cell r="G39">
            <v>66128</v>
          </cell>
          <cell r="H39">
            <v>137925</v>
          </cell>
          <cell r="I39">
            <v>71797</v>
          </cell>
          <cell r="J39">
            <v>9459.972720000002</v>
          </cell>
        </row>
        <row r="40">
          <cell r="B40" t="str">
            <v>LM1107</v>
          </cell>
          <cell r="C40" t="str">
            <v>Thî ®iÒu khiÓn m¸y bËc 7/7</v>
          </cell>
          <cell r="D40" t="str">
            <v>c«ng</v>
          </cell>
          <cell r="E40">
            <v>0</v>
          </cell>
          <cell r="F40" t="str">
            <v>KHONG</v>
          </cell>
          <cell r="G40">
            <v>77323</v>
          </cell>
          <cell r="H40">
            <v>161274</v>
          </cell>
          <cell r="I40">
            <v>83951</v>
          </cell>
          <cell r="J40">
            <v>0</v>
          </cell>
        </row>
        <row r="41">
          <cell r="B41" t="str">
            <v>LX1101</v>
          </cell>
          <cell r="C41" t="str">
            <v>L¸i xe bËc 1/4, lo¹i &lt;3,5 TÊn</v>
          </cell>
          <cell r="D41" t="str">
            <v>c«ng</v>
          </cell>
          <cell r="E41">
            <v>0</v>
          </cell>
          <cell r="F41" t="str">
            <v>KHONG</v>
          </cell>
          <cell r="G41">
            <v>39668</v>
          </cell>
          <cell r="H41">
            <v>82737</v>
          </cell>
          <cell r="I41">
            <v>43069</v>
          </cell>
          <cell r="J41">
            <v>0</v>
          </cell>
        </row>
        <row r="42">
          <cell r="B42" t="str">
            <v>LX1102</v>
          </cell>
          <cell r="C42" t="str">
            <v>L¸i xe bËc 2/4, lo¹i &lt;3,5 TÊn</v>
          </cell>
          <cell r="D42" t="str">
            <v>c«ng</v>
          </cell>
          <cell r="E42">
            <v>0</v>
          </cell>
          <cell r="F42" t="str">
            <v>KHONG</v>
          </cell>
          <cell r="G42">
            <v>46283</v>
          </cell>
          <cell r="H42">
            <v>96534</v>
          </cell>
          <cell r="I42">
            <v>50251</v>
          </cell>
          <cell r="J42">
            <v>0</v>
          </cell>
        </row>
        <row r="43">
          <cell r="B43" t="str">
            <v>LX1103</v>
          </cell>
          <cell r="C43" t="str">
            <v>L¸i xe bËc 3/4, lo¹i &lt;3,5 TÊn</v>
          </cell>
          <cell r="D43" t="str">
            <v>c«ng</v>
          </cell>
          <cell r="E43">
            <v>0</v>
          </cell>
          <cell r="F43" t="str">
            <v>KHONG</v>
          </cell>
          <cell r="G43">
            <v>54425</v>
          </cell>
          <cell r="H43">
            <v>113515</v>
          </cell>
          <cell r="I43">
            <v>59090</v>
          </cell>
          <cell r="J43">
            <v>0</v>
          </cell>
        </row>
        <row r="44">
          <cell r="B44" t="str">
            <v>LX1104</v>
          </cell>
          <cell r="C44" t="str">
            <v>L¸i xe bËc 4/4, lo¹i &lt;3,5 TÊn</v>
          </cell>
          <cell r="D44" t="str">
            <v>c«ng</v>
          </cell>
          <cell r="E44">
            <v>0</v>
          </cell>
          <cell r="F44" t="str">
            <v>KHONG</v>
          </cell>
          <cell r="G44">
            <v>63754</v>
          </cell>
          <cell r="H44">
            <v>132972</v>
          </cell>
          <cell r="I44">
            <v>69218</v>
          </cell>
          <cell r="J44">
            <v>0</v>
          </cell>
        </row>
        <row r="45">
          <cell r="B45" t="str">
            <v>LX1201</v>
          </cell>
          <cell r="C45" t="str">
            <v>L¸i xe bËc 1/4, lo¹i 3,5 - 7,5 TÊn</v>
          </cell>
          <cell r="D45" t="str">
            <v>c«ng</v>
          </cell>
          <cell r="E45">
            <v>0</v>
          </cell>
          <cell r="F45" t="str">
            <v>KHONG</v>
          </cell>
          <cell r="G45">
            <v>42552</v>
          </cell>
          <cell r="H45">
            <v>88751</v>
          </cell>
          <cell r="I45">
            <v>46199</v>
          </cell>
          <cell r="J45">
            <v>0</v>
          </cell>
        </row>
        <row r="46">
          <cell r="B46" t="str">
            <v>LX1202</v>
          </cell>
          <cell r="C46" t="str">
            <v>L¸i xe bËc 2/4, lo¹i 3,5 - 7,5 TÊn</v>
          </cell>
          <cell r="D46" t="str">
            <v>c«ng</v>
          </cell>
          <cell r="E46">
            <v>0</v>
          </cell>
          <cell r="F46" t="str">
            <v>KHONG</v>
          </cell>
          <cell r="G46">
            <v>49506</v>
          </cell>
          <cell r="H46">
            <v>103256</v>
          </cell>
          <cell r="I46">
            <v>53750</v>
          </cell>
          <cell r="J46">
            <v>0</v>
          </cell>
        </row>
        <row r="47">
          <cell r="B47" t="str">
            <v>LX1203</v>
          </cell>
          <cell r="C47" t="str">
            <v>L¸i xe bËc 3/4, lo¹i 3,5 - 7,5 TÊn</v>
          </cell>
          <cell r="D47" t="str">
            <v>c«ng</v>
          </cell>
          <cell r="E47">
            <v>0</v>
          </cell>
          <cell r="F47" t="str">
            <v>KHONG</v>
          </cell>
          <cell r="G47">
            <v>57817</v>
          </cell>
          <cell r="H47">
            <v>120590</v>
          </cell>
          <cell r="I47">
            <v>62773</v>
          </cell>
          <cell r="J47">
            <v>0</v>
          </cell>
        </row>
        <row r="48">
          <cell r="B48" t="str">
            <v>LX1204</v>
          </cell>
          <cell r="C48" t="str">
            <v>L¸i xe bËc 4/4, lo¹i 3,5 - 7,5 TÊn</v>
          </cell>
          <cell r="D48" t="str">
            <v>c«ng</v>
          </cell>
          <cell r="E48">
            <v>0</v>
          </cell>
          <cell r="F48" t="str">
            <v>KHONG</v>
          </cell>
          <cell r="G48">
            <v>67485</v>
          </cell>
          <cell r="H48">
            <v>140755</v>
          </cell>
          <cell r="I48">
            <v>73270</v>
          </cell>
          <cell r="J48">
            <v>0</v>
          </cell>
        </row>
        <row r="49">
          <cell r="B49" t="str">
            <v>LX1301</v>
          </cell>
          <cell r="C49" t="str">
            <v>L¸i xe bËc 1/4, lo¹i 7,5 - 16,5 TÊn</v>
          </cell>
          <cell r="D49" t="str">
            <v>c«ng</v>
          </cell>
          <cell r="E49">
            <v>0.664508</v>
          </cell>
          <cell r="F49">
            <v>0.664508</v>
          </cell>
          <cell r="G49">
            <v>45266</v>
          </cell>
          <cell r="H49">
            <v>94411</v>
          </cell>
          <cell r="I49">
            <v>49145</v>
          </cell>
          <cell r="J49">
            <v>32657.24566</v>
          </cell>
        </row>
        <row r="50">
          <cell r="B50" t="str">
            <v>LX1302</v>
          </cell>
          <cell r="C50" t="str">
            <v>L¸i xe bËc 2/4, lo¹i 7,5 - 16,5 TÊn</v>
          </cell>
          <cell r="D50" t="str">
            <v>c«ng</v>
          </cell>
          <cell r="E50">
            <v>0</v>
          </cell>
          <cell r="F50" t="str">
            <v>KHONG</v>
          </cell>
          <cell r="G50">
            <v>52559</v>
          </cell>
          <cell r="H50">
            <v>109624</v>
          </cell>
          <cell r="I50">
            <v>57065</v>
          </cell>
          <cell r="J50">
            <v>0</v>
          </cell>
        </row>
        <row r="51">
          <cell r="B51" t="str">
            <v>LX1303</v>
          </cell>
          <cell r="C51" t="str">
            <v>L¸i xe bËc 3/4, lo¹i 7,5 - 16,5 TÊn</v>
          </cell>
          <cell r="D51" t="str">
            <v>c«ng</v>
          </cell>
          <cell r="E51">
            <v>0.664508</v>
          </cell>
          <cell r="F51">
            <v>0.664508</v>
          </cell>
          <cell r="G51">
            <v>61040</v>
          </cell>
          <cell r="H51">
            <v>127312</v>
          </cell>
          <cell r="I51">
            <v>66272</v>
          </cell>
          <cell r="J51">
            <v>44038.274176</v>
          </cell>
        </row>
        <row r="52">
          <cell r="B52" t="str">
            <v>LX1304</v>
          </cell>
          <cell r="C52" t="str">
            <v>L¸i xe bËc 4/4, lo¹i 7,5 - 16,5 TÊn</v>
          </cell>
          <cell r="D52" t="str">
            <v>c«ng</v>
          </cell>
          <cell r="E52">
            <v>0</v>
          </cell>
          <cell r="F52" t="str">
            <v>KHONG</v>
          </cell>
          <cell r="G52">
            <v>71387</v>
          </cell>
          <cell r="H52">
            <v>148892</v>
          </cell>
          <cell r="I52">
            <v>77505</v>
          </cell>
          <cell r="J52">
            <v>0</v>
          </cell>
        </row>
        <row r="53">
          <cell r="B53" t="str">
            <v>LX1401</v>
          </cell>
          <cell r="C53" t="str">
            <v>L¸i xe bËc 1/4, lo¹i 16,5 - 25 TÊn</v>
          </cell>
          <cell r="D53" t="str">
            <v>c«ng</v>
          </cell>
          <cell r="E53">
            <v>0</v>
          </cell>
          <cell r="F53" t="str">
            <v>KHONG</v>
          </cell>
          <cell r="G53">
            <v>47810</v>
          </cell>
          <cell r="H53">
            <v>99718</v>
          </cell>
          <cell r="I53">
            <v>51908</v>
          </cell>
          <cell r="J53">
            <v>0</v>
          </cell>
        </row>
        <row r="54">
          <cell r="B54" t="str">
            <v>LX1402</v>
          </cell>
          <cell r="C54" t="str">
            <v>L¸i xe bËc 2/4, lo¹i 16,5 - 25 TÊn</v>
          </cell>
          <cell r="D54" t="str">
            <v>c«ng</v>
          </cell>
          <cell r="E54">
            <v>0</v>
          </cell>
          <cell r="F54" t="str">
            <v>KHONG</v>
          </cell>
          <cell r="G54">
            <v>55443</v>
          </cell>
          <cell r="H54">
            <v>115638</v>
          </cell>
          <cell r="I54">
            <v>60195</v>
          </cell>
          <cell r="J54">
            <v>0</v>
          </cell>
        </row>
        <row r="55">
          <cell r="B55" t="str">
            <v>LX1403</v>
          </cell>
          <cell r="C55" t="str">
            <v>L¸i xe bËc 3/4, lo¹i 16,5 - 25 TÊn</v>
          </cell>
          <cell r="D55" t="str">
            <v>c«ng</v>
          </cell>
          <cell r="E55">
            <v>0</v>
          </cell>
          <cell r="F55" t="str">
            <v>KHONG</v>
          </cell>
          <cell r="G55">
            <v>64432</v>
          </cell>
          <cell r="H55">
            <v>134387</v>
          </cell>
          <cell r="I55">
            <v>69955</v>
          </cell>
          <cell r="J55">
            <v>0</v>
          </cell>
        </row>
        <row r="56">
          <cell r="B56" t="str">
            <v>LX1404</v>
          </cell>
          <cell r="C56" t="str">
            <v>L¸i xe bËc 4/4, lo¹i 16,5 - 25 TÊn</v>
          </cell>
          <cell r="D56" t="str">
            <v>c«ng</v>
          </cell>
          <cell r="E56">
            <v>0</v>
          </cell>
          <cell r="F56" t="str">
            <v>KHONG</v>
          </cell>
          <cell r="G56">
            <v>73931</v>
          </cell>
          <cell r="H56">
            <v>154198</v>
          </cell>
          <cell r="I56">
            <v>80267</v>
          </cell>
          <cell r="J56">
            <v>0</v>
          </cell>
        </row>
        <row r="57">
          <cell r="B57" t="str">
            <v>LX1501</v>
          </cell>
          <cell r="C57" t="str">
            <v>L¸i xe bËc 1/4, lo¹i 25 - 40 TÊn</v>
          </cell>
          <cell r="D57" t="str">
            <v>c«ng</v>
          </cell>
          <cell r="E57">
            <v>0</v>
          </cell>
          <cell r="F57" t="str">
            <v>KHONG</v>
          </cell>
          <cell r="G57">
            <v>53407</v>
          </cell>
          <cell r="H57">
            <v>111392</v>
          </cell>
          <cell r="I57">
            <v>57985</v>
          </cell>
          <cell r="J57">
            <v>0</v>
          </cell>
        </row>
        <row r="58">
          <cell r="B58" t="str">
            <v>LX1502</v>
          </cell>
          <cell r="C58" t="str">
            <v>L¸i xe bËc 2/4, lo¹i 25 - 40 TÊn</v>
          </cell>
          <cell r="D58" t="str">
            <v>c«ng</v>
          </cell>
          <cell r="E58">
            <v>0</v>
          </cell>
          <cell r="F58" t="str">
            <v>KHONG</v>
          </cell>
          <cell r="G58">
            <v>62058</v>
          </cell>
          <cell r="H58">
            <v>129435</v>
          </cell>
          <cell r="I58">
            <v>67377</v>
          </cell>
          <cell r="J58">
            <v>0</v>
          </cell>
        </row>
        <row r="59">
          <cell r="B59" t="str">
            <v>LX1503</v>
          </cell>
          <cell r="C59" t="str">
            <v>L¸i xe bËc 3/4, lo¹i 25 - 40 TÊn</v>
          </cell>
          <cell r="D59" t="str">
            <v>c«ng</v>
          </cell>
          <cell r="E59">
            <v>0</v>
          </cell>
          <cell r="F59" t="str">
            <v>KHONG</v>
          </cell>
          <cell r="G59">
            <v>72404</v>
          </cell>
          <cell r="H59">
            <v>151015</v>
          </cell>
          <cell r="I59">
            <v>78611</v>
          </cell>
          <cell r="J59">
            <v>0</v>
          </cell>
        </row>
        <row r="60">
          <cell r="B60" t="str">
            <v>LX1504</v>
          </cell>
          <cell r="C60" t="str">
            <v>L¸i xe bËc 4/4, lo¹i 25 - 40 TÊn</v>
          </cell>
          <cell r="D60" t="str">
            <v>c«ng</v>
          </cell>
          <cell r="E60">
            <v>0</v>
          </cell>
          <cell r="F60" t="str">
            <v>KHONG</v>
          </cell>
          <cell r="G60">
            <v>84447</v>
          </cell>
          <cell r="H60">
            <v>176132</v>
          </cell>
          <cell r="I60">
            <v>91685</v>
          </cell>
          <cell r="J60">
            <v>0</v>
          </cell>
        </row>
        <row r="61">
          <cell r="B61" t="str">
            <v>LX1601</v>
          </cell>
          <cell r="C61" t="str">
            <v>L¸i xe bËc 1/4, lo¹i &gt;=40 TÊn</v>
          </cell>
          <cell r="D61" t="str">
            <v>c«ng</v>
          </cell>
          <cell r="E61">
            <v>0</v>
          </cell>
          <cell r="F61" t="str">
            <v>KHONG</v>
          </cell>
          <cell r="G61">
            <v>56969</v>
          </cell>
          <cell r="H61">
            <v>118822</v>
          </cell>
          <cell r="I61">
            <v>61853</v>
          </cell>
          <cell r="J61">
            <v>0</v>
          </cell>
        </row>
        <row r="62">
          <cell r="B62" t="str">
            <v>LX1602</v>
          </cell>
          <cell r="C62" t="str">
            <v>L¸i xe bËc 2/4, lo¹i &gt;=40 TÊn</v>
          </cell>
          <cell r="D62" t="str">
            <v>c«ng</v>
          </cell>
          <cell r="E62">
            <v>0</v>
          </cell>
          <cell r="F62" t="str">
            <v>KHONG</v>
          </cell>
          <cell r="G62">
            <v>66298</v>
          </cell>
          <cell r="H62">
            <v>138279</v>
          </cell>
          <cell r="I62">
            <v>71981</v>
          </cell>
          <cell r="J62">
            <v>0</v>
          </cell>
        </row>
        <row r="63">
          <cell r="B63" t="str">
            <v>LX1603</v>
          </cell>
          <cell r="C63" t="str">
            <v>L¸i xe bËc 3/4, lo¹i &gt;=40 TÊn</v>
          </cell>
          <cell r="D63" t="str">
            <v>c«ng</v>
          </cell>
          <cell r="E63">
            <v>0</v>
          </cell>
          <cell r="F63" t="str">
            <v>KHONG</v>
          </cell>
          <cell r="G63">
            <v>77153</v>
          </cell>
          <cell r="H63">
            <v>160920</v>
          </cell>
          <cell r="I63">
            <v>83767</v>
          </cell>
          <cell r="J63">
            <v>0</v>
          </cell>
        </row>
        <row r="64">
          <cell r="B64" t="str">
            <v>LX1604</v>
          </cell>
          <cell r="C64" t="str">
            <v>L¸i xe bËc 4/4, lo¹i &gt;=40 TÊn</v>
          </cell>
          <cell r="D64" t="str">
            <v>c«ng</v>
          </cell>
          <cell r="E64">
            <v>0</v>
          </cell>
          <cell r="F64" t="str">
            <v>KHONG</v>
          </cell>
          <cell r="G64">
            <v>90044</v>
          </cell>
          <cell r="H64">
            <v>187807</v>
          </cell>
          <cell r="I64">
            <v>97763</v>
          </cell>
          <cell r="J64">
            <v>0</v>
          </cell>
        </row>
        <row r="65">
          <cell r="B65" t="str">
            <v>LT1111</v>
          </cell>
          <cell r="C65" t="str">
            <v>ThuyÒn tr­ëng bËc 1/2, tµu vËn t¶i s«ng nhãm I</v>
          </cell>
          <cell r="D65" t="str">
            <v>c«ng</v>
          </cell>
          <cell r="E65">
            <v>0</v>
          </cell>
          <cell r="F65" t="str">
            <v>KHONG</v>
          </cell>
          <cell r="G65">
            <v>50354</v>
          </cell>
          <cell r="H65">
            <v>105025</v>
          </cell>
          <cell r="I65">
            <v>54671</v>
          </cell>
          <cell r="J65">
            <v>0</v>
          </cell>
        </row>
        <row r="66">
          <cell r="B66" t="str">
            <v>LT1112</v>
          </cell>
          <cell r="C66" t="str">
            <v>ThuyÒn tr­ëng bËc 2/2, tµu vËn t¶i s«ng nhãm I</v>
          </cell>
          <cell r="D66" t="str">
            <v>c«ng</v>
          </cell>
          <cell r="E66">
            <v>0</v>
          </cell>
          <cell r="F66" t="str">
            <v>KHONG</v>
          </cell>
          <cell r="G66">
            <v>53407</v>
          </cell>
          <cell r="H66">
            <v>111392</v>
          </cell>
          <cell r="I66">
            <v>57985</v>
          </cell>
          <cell r="J66">
            <v>0</v>
          </cell>
        </row>
        <row r="67">
          <cell r="B67" t="str">
            <v>LT1121</v>
          </cell>
          <cell r="C67" t="str">
            <v>ThuyÒn tr­ëng bËc 1/2, tµu vËn t¶i s«ng nhãm II</v>
          </cell>
          <cell r="D67" t="str">
            <v>c«ng</v>
          </cell>
          <cell r="E67">
            <v>0</v>
          </cell>
          <cell r="F67" t="str">
            <v>KHONG</v>
          </cell>
          <cell r="G67">
            <v>65959</v>
          </cell>
          <cell r="H67">
            <v>137571</v>
          </cell>
          <cell r="I67">
            <v>71612</v>
          </cell>
          <cell r="J67">
            <v>0</v>
          </cell>
        </row>
        <row r="68">
          <cell r="B68" t="str">
            <v>LT1122</v>
          </cell>
          <cell r="C68" t="str">
            <v>ThuyÒn tr­ëng bËc 2/2, tµu vËn t¶i s«ng nhãm II</v>
          </cell>
          <cell r="D68" t="str">
            <v>c«ng</v>
          </cell>
          <cell r="E68">
            <v>0</v>
          </cell>
          <cell r="F68" t="str">
            <v>KHONG</v>
          </cell>
          <cell r="G68">
            <v>69012</v>
          </cell>
          <cell r="H68">
            <v>143939</v>
          </cell>
          <cell r="I68">
            <v>74927</v>
          </cell>
          <cell r="J68">
            <v>0</v>
          </cell>
        </row>
        <row r="69">
          <cell r="B69" t="str">
            <v>LT1131</v>
          </cell>
          <cell r="C69" t="str">
            <v>ThuyÒn tr­ëng bËc 1/2, tµu vËn t¶i s«ng nhãm III</v>
          </cell>
          <cell r="D69" t="str">
            <v>c«ng</v>
          </cell>
          <cell r="E69">
            <v>0</v>
          </cell>
          <cell r="F69" t="str">
            <v>KHONG</v>
          </cell>
          <cell r="G69">
            <v>72913</v>
          </cell>
          <cell r="H69">
            <v>152076</v>
          </cell>
          <cell r="I69">
            <v>79163</v>
          </cell>
          <cell r="J69">
            <v>0</v>
          </cell>
        </row>
        <row r="70">
          <cell r="B70" t="str">
            <v>LT1132</v>
          </cell>
          <cell r="C70" t="str">
            <v>ThuyÒn tr­ëng bËc 2/2, tµu vËn t¶i s«ng nhãm III</v>
          </cell>
          <cell r="D70" t="str">
            <v>c«ng</v>
          </cell>
          <cell r="E70">
            <v>0</v>
          </cell>
          <cell r="F70" t="str">
            <v>KHONG</v>
          </cell>
          <cell r="G70">
            <v>76645</v>
          </cell>
          <cell r="H70">
            <v>159859</v>
          </cell>
          <cell r="I70">
            <v>83214</v>
          </cell>
          <cell r="J70">
            <v>0</v>
          </cell>
        </row>
        <row r="71">
          <cell r="B71" t="str">
            <v>LT1141</v>
          </cell>
          <cell r="C71" t="str">
            <v>ThuyÒn tr­ëng bËc 1/2, tµu vËn t¶i s«ng nhãm IV</v>
          </cell>
          <cell r="D71" t="str">
            <v>c«ng</v>
          </cell>
          <cell r="E71">
            <v>0</v>
          </cell>
          <cell r="F71" t="str">
            <v>KHONG</v>
          </cell>
          <cell r="G71">
            <v>82072</v>
          </cell>
          <cell r="H71">
            <v>171179</v>
          </cell>
          <cell r="I71">
            <v>89107</v>
          </cell>
          <cell r="J71">
            <v>0</v>
          </cell>
        </row>
        <row r="72">
          <cell r="B72" t="str">
            <v>LT1142</v>
          </cell>
          <cell r="C72" t="str">
            <v>ThuyÒn tr­ëng bËc 2/2, tµu vËn t¶i s«ng nhãm IV</v>
          </cell>
          <cell r="D72" t="str">
            <v>c«ng</v>
          </cell>
          <cell r="E72">
            <v>0</v>
          </cell>
          <cell r="F72" t="str">
            <v>KHONG</v>
          </cell>
          <cell r="G72">
            <v>86143</v>
          </cell>
          <cell r="H72">
            <v>179670</v>
          </cell>
          <cell r="I72">
            <v>93527</v>
          </cell>
          <cell r="J72">
            <v>0</v>
          </cell>
        </row>
        <row r="73">
          <cell r="B73" t="str">
            <v>LT1211</v>
          </cell>
          <cell r="C73" t="str">
            <v>§¹i phã, m¸y tr­ëng bËc 1/2, tµu vËn t¶i s«ng nhãm I</v>
          </cell>
          <cell r="D73" t="str">
            <v>c«ng</v>
          </cell>
          <cell r="E73">
            <v>0</v>
          </cell>
          <cell r="F73" t="str">
            <v>KHONG</v>
          </cell>
          <cell r="G73">
            <v>45266</v>
          </cell>
          <cell r="H73">
            <v>94411</v>
          </cell>
          <cell r="I73">
            <v>49145</v>
          </cell>
          <cell r="J73">
            <v>0</v>
          </cell>
        </row>
        <row r="74">
          <cell r="B74" t="str">
            <v>LT1212</v>
          </cell>
          <cell r="C74" t="str">
            <v>§¹i phã, m¸y tr­ëng bËc 2/2, tµu vËn t¶i s«ng nhãm I</v>
          </cell>
          <cell r="D74" t="str">
            <v>c«ng</v>
          </cell>
          <cell r="E74">
            <v>0</v>
          </cell>
          <cell r="F74" t="str">
            <v>KHONG</v>
          </cell>
          <cell r="G74">
            <v>47810</v>
          </cell>
          <cell r="H74">
            <v>99718</v>
          </cell>
          <cell r="I74">
            <v>51908</v>
          </cell>
          <cell r="J74">
            <v>0</v>
          </cell>
        </row>
        <row r="75">
          <cell r="B75" t="str">
            <v>LT1221</v>
          </cell>
          <cell r="C75" t="str">
            <v>§¹i phã, m¸y tr­ëng bËc 1/2, tµu vËn t¶i s«ng nhãm II</v>
          </cell>
          <cell r="D75" t="str">
            <v>c«ng</v>
          </cell>
          <cell r="E75">
            <v>0</v>
          </cell>
          <cell r="F75" t="str">
            <v>KHONG</v>
          </cell>
          <cell r="G75">
            <v>56460</v>
          </cell>
          <cell r="H75">
            <v>117760</v>
          </cell>
          <cell r="I75">
            <v>61300</v>
          </cell>
          <cell r="J75">
            <v>0</v>
          </cell>
        </row>
        <row r="76">
          <cell r="B76" t="str">
            <v>LT1222</v>
          </cell>
          <cell r="C76" t="str">
            <v>§¹i phã, m¸y tr­ëng bËc 2/2, tµu vËn t¶i s«ng nhãm II</v>
          </cell>
          <cell r="D76" t="str">
            <v>c«ng</v>
          </cell>
          <cell r="E76">
            <v>0</v>
          </cell>
          <cell r="F76" t="str">
            <v>KHONG</v>
          </cell>
          <cell r="G76">
            <v>58665</v>
          </cell>
          <cell r="H76">
            <v>122359</v>
          </cell>
          <cell r="I76">
            <v>63694</v>
          </cell>
          <cell r="J76">
            <v>0</v>
          </cell>
        </row>
        <row r="77">
          <cell r="B77" t="str">
            <v>LT1231</v>
          </cell>
          <cell r="C77" t="str">
            <v>§¹i phã, m¸y tr­ëng bËc 1/2, tµu vËn t¶i s«ng nhãm III</v>
          </cell>
          <cell r="D77" t="str">
            <v>c«ng</v>
          </cell>
          <cell r="E77">
            <v>0</v>
          </cell>
          <cell r="F77" t="str">
            <v>KHONG</v>
          </cell>
          <cell r="G77">
            <v>62906</v>
          </cell>
          <cell r="H77">
            <v>131203</v>
          </cell>
          <cell r="I77">
            <v>68297</v>
          </cell>
          <cell r="J77">
            <v>0</v>
          </cell>
        </row>
        <row r="78">
          <cell r="B78" t="str">
            <v>LT1232</v>
          </cell>
          <cell r="C78" t="str">
            <v>§¹i phã, m¸y tr­ëng bËc 2/2, tµu vËn t¶i s«ng nhãm III</v>
          </cell>
          <cell r="D78" t="str">
            <v>c«ng</v>
          </cell>
          <cell r="E78">
            <v>0</v>
          </cell>
          <cell r="F78" t="str">
            <v>KHONG</v>
          </cell>
          <cell r="G78">
            <v>66468</v>
          </cell>
          <cell r="H78">
            <v>138633</v>
          </cell>
          <cell r="I78">
            <v>72165</v>
          </cell>
          <cell r="J78">
            <v>0</v>
          </cell>
        </row>
        <row r="79">
          <cell r="B79" t="str">
            <v>LT1241</v>
          </cell>
          <cell r="C79" t="str">
            <v>§¹i phã, m¸y tr­ëng bËc 1/2, tµu vËn t¶i s«ng nhãm IV</v>
          </cell>
          <cell r="D79" t="str">
            <v>c«ng</v>
          </cell>
          <cell r="E79">
            <v>0</v>
          </cell>
          <cell r="F79" t="str">
            <v>KHONG</v>
          </cell>
          <cell r="G79">
            <v>73252</v>
          </cell>
          <cell r="H79">
            <v>152783</v>
          </cell>
          <cell r="I79">
            <v>79531</v>
          </cell>
          <cell r="J79">
            <v>0</v>
          </cell>
        </row>
        <row r="80">
          <cell r="B80" t="str">
            <v>LT1242</v>
          </cell>
          <cell r="C80" t="str">
            <v>§¹i phã, m¸y tr­ëng bËc 2/2, tµu vËn t¶i s«ng nhãm IV</v>
          </cell>
          <cell r="D80" t="str">
            <v>c«ng</v>
          </cell>
          <cell r="E80">
            <v>0</v>
          </cell>
          <cell r="F80" t="str">
            <v>KHONG</v>
          </cell>
          <cell r="G80">
            <v>76814</v>
          </cell>
          <cell r="H80">
            <v>160213</v>
          </cell>
          <cell r="I80">
            <v>83399</v>
          </cell>
          <cell r="J80">
            <v>0</v>
          </cell>
        </row>
        <row r="81">
          <cell r="B81" t="str">
            <v>LT1321</v>
          </cell>
          <cell r="C81" t="str">
            <v>ThuyÒn phã, m¸y 2 bËc 1/2, tµu vËn t¶i s«ng nhãm II</v>
          </cell>
          <cell r="D81" t="str">
            <v>c«ng</v>
          </cell>
          <cell r="E81">
            <v>0</v>
          </cell>
          <cell r="F81" t="str">
            <v>KHONG</v>
          </cell>
          <cell r="G81">
            <v>47810</v>
          </cell>
          <cell r="H81">
            <v>99718</v>
          </cell>
          <cell r="I81">
            <v>51908</v>
          </cell>
          <cell r="J81">
            <v>0</v>
          </cell>
        </row>
        <row r="82">
          <cell r="B82" t="str">
            <v>LT1322</v>
          </cell>
          <cell r="C82" t="str">
            <v>ThuyÒn phã, m¸y 2 bËc 2/2, tµu vËn t¶i s«ng nhãm II</v>
          </cell>
          <cell r="D82" t="str">
            <v>c«ng</v>
          </cell>
          <cell r="E82">
            <v>0</v>
          </cell>
          <cell r="F82" t="str">
            <v>KHONG</v>
          </cell>
          <cell r="G82">
            <v>50354</v>
          </cell>
          <cell r="H82">
            <v>105025</v>
          </cell>
          <cell r="I82">
            <v>54671</v>
          </cell>
          <cell r="J82">
            <v>0</v>
          </cell>
        </row>
        <row r="83">
          <cell r="B83" t="str">
            <v>LT1331</v>
          </cell>
          <cell r="C83" t="str">
            <v>ThuyÒn phã, m¸y 2 bËc 1/2, tµu vËn t¶i s«ng nhãm III</v>
          </cell>
          <cell r="D83" t="str">
            <v>c«ng</v>
          </cell>
          <cell r="E83">
            <v>0</v>
          </cell>
          <cell r="F83" t="str">
            <v>KHONG</v>
          </cell>
          <cell r="G83">
            <v>52390</v>
          </cell>
          <cell r="H83">
            <v>109270</v>
          </cell>
          <cell r="I83">
            <v>56880</v>
          </cell>
          <cell r="J83">
            <v>0</v>
          </cell>
        </row>
        <row r="84">
          <cell r="B84" t="str">
            <v>LT1332</v>
          </cell>
          <cell r="C84" t="str">
            <v>ThuyÒn phã, m¸y 2 bËc 2/2, tµu vËn t¶i s«ng nhãm III</v>
          </cell>
          <cell r="D84" t="str">
            <v>c«ng</v>
          </cell>
          <cell r="E84">
            <v>0</v>
          </cell>
          <cell r="F84" t="str">
            <v>KHONG</v>
          </cell>
          <cell r="G84">
            <v>55273</v>
          </cell>
          <cell r="H84">
            <v>115284</v>
          </cell>
          <cell r="I84">
            <v>60011</v>
          </cell>
          <cell r="J84">
            <v>0</v>
          </cell>
        </row>
        <row r="85">
          <cell r="B85" t="str">
            <v>LT1341</v>
          </cell>
          <cell r="C85" t="str">
            <v>ThuyÒn phã, m¸y 2 bËc 1/2, tµu vËn t¶i s«ng nhãm IV</v>
          </cell>
          <cell r="D85" t="str">
            <v>c«ng</v>
          </cell>
          <cell r="E85">
            <v>0</v>
          </cell>
          <cell r="F85" t="str">
            <v>KHONG</v>
          </cell>
          <cell r="G85">
            <v>62906</v>
          </cell>
          <cell r="H85">
            <v>131203</v>
          </cell>
          <cell r="I85">
            <v>68297</v>
          </cell>
          <cell r="J85">
            <v>0</v>
          </cell>
        </row>
        <row r="86">
          <cell r="B86" t="str">
            <v>LT1342</v>
          </cell>
          <cell r="C86" t="str">
            <v>ThuyÒn phã, m¸y 2 bËc 2/2, tµu vËn t¶i s«ng nhãm IV</v>
          </cell>
          <cell r="D86" t="str">
            <v>c«ng</v>
          </cell>
          <cell r="E86">
            <v>0</v>
          </cell>
          <cell r="F86" t="str">
            <v>KHONG</v>
          </cell>
          <cell r="G86">
            <v>66468</v>
          </cell>
          <cell r="H86">
            <v>138633</v>
          </cell>
          <cell r="I86">
            <v>72165</v>
          </cell>
          <cell r="J86">
            <v>0</v>
          </cell>
        </row>
        <row r="87">
          <cell r="B87" t="str">
            <v>LT2111</v>
          </cell>
          <cell r="C87" t="str">
            <v>Thñy thñ bËc 1/4, tµu vËn t¶i däc s«ng </v>
          </cell>
          <cell r="D87" t="str">
            <v>c«ng</v>
          </cell>
          <cell r="E87">
            <v>0</v>
          </cell>
          <cell r="F87" t="str">
            <v>KHONG</v>
          </cell>
          <cell r="G87">
            <v>35428</v>
          </cell>
          <cell r="H87">
            <v>73893</v>
          </cell>
          <cell r="I87">
            <v>38465</v>
          </cell>
          <cell r="J87">
            <v>0</v>
          </cell>
        </row>
        <row r="88">
          <cell r="B88" t="str">
            <v>LT2112</v>
          </cell>
          <cell r="C88" t="str">
            <v>Thñy thñ bËc 2/4, tµu vËn t¶i däc s«ng </v>
          </cell>
          <cell r="D88" t="str">
            <v>c«ng</v>
          </cell>
          <cell r="E88">
            <v>0</v>
          </cell>
          <cell r="F88" t="str">
            <v>KHONG</v>
          </cell>
          <cell r="G88">
            <v>39668</v>
          </cell>
          <cell r="H88">
            <v>82737</v>
          </cell>
          <cell r="I88">
            <v>43069</v>
          </cell>
          <cell r="J88">
            <v>0</v>
          </cell>
        </row>
        <row r="89">
          <cell r="B89" t="str">
            <v>LT2113</v>
          </cell>
          <cell r="C89" t="str">
            <v>Thñy thñ bËc 3/4, tµu vËn t¶i däc s«ng </v>
          </cell>
          <cell r="D89" t="str">
            <v>c«ng</v>
          </cell>
          <cell r="E89">
            <v>0</v>
          </cell>
          <cell r="F89" t="str">
            <v>KHONG</v>
          </cell>
          <cell r="G89">
            <v>45266</v>
          </cell>
          <cell r="H89">
            <v>94411</v>
          </cell>
          <cell r="I89">
            <v>49145</v>
          </cell>
          <cell r="J89">
            <v>0</v>
          </cell>
        </row>
        <row r="90">
          <cell r="B90" t="str">
            <v>LT2114</v>
          </cell>
          <cell r="C90" t="str">
            <v>Thñy thñ bËc 4/4, tµu vËn t¶i däc s«ng </v>
          </cell>
          <cell r="D90" t="str">
            <v>c«ng</v>
          </cell>
          <cell r="E90">
            <v>0</v>
          </cell>
          <cell r="F90" t="str">
            <v>KHONG</v>
          </cell>
          <cell r="G90">
            <v>50693</v>
          </cell>
          <cell r="H90">
            <v>105732</v>
          </cell>
          <cell r="I90">
            <v>55039</v>
          </cell>
          <cell r="J90">
            <v>0</v>
          </cell>
        </row>
        <row r="91">
          <cell r="B91" t="str">
            <v>LT2121</v>
          </cell>
          <cell r="C91" t="str">
            <v>Thñy thñ bËc 1/4, tµu vËn t¶i sang ngang</v>
          </cell>
          <cell r="D91" t="str">
            <v>c«ng</v>
          </cell>
          <cell r="E91">
            <v>0</v>
          </cell>
          <cell r="F91" t="str">
            <v>KHONG</v>
          </cell>
          <cell r="G91">
            <v>38651</v>
          </cell>
          <cell r="H91">
            <v>80614</v>
          </cell>
          <cell r="I91">
            <v>41963</v>
          </cell>
          <cell r="J91">
            <v>0</v>
          </cell>
        </row>
        <row r="92">
          <cell r="B92" t="str">
            <v>LT2122</v>
          </cell>
          <cell r="C92" t="str">
            <v>Thñy thñ bËc 2/4, tµu vËn t¶i sang ngang</v>
          </cell>
          <cell r="D92" t="str">
            <v>c«ng</v>
          </cell>
          <cell r="E92">
            <v>0</v>
          </cell>
          <cell r="F92" t="str">
            <v>KHONG</v>
          </cell>
          <cell r="G92">
            <v>43230</v>
          </cell>
          <cell r="H92">
            <v>90166</v>
          </cell>
          <cell r="I92">
            <v>46936</v>
          </cell>
          <cell r="J92">
            <v>0</v>
          </cell>
        </row>
        <row r="93">
          <cell r="B93" t="str">
            <v>LT2123</v>
          </cell>
          <cell r="C93" t="str">
            <v>Thñy thñ bËc 3/4, tµu vËn t¶i sang ngang</v>
          </cell>
          <cell r="D93" t="str">
            <v>c«ng</v>
          </cell>
          <cell r="E93">
            <v>0</v>
          </cell>
          <cell r="F93" t="str">
            <v>KHONG</v>
          </cell>
          <cell r="G93">
            <v>49506</v>
          </cell>
          <cell r="H93">
            <v>103256</v>
          </cell>
          <cell r="I93">
            <v>53750</v>
          </cell>
          <cell r="J93">
            <v>0</v>
          </cell>
        </row>
        <row r="94">
          <cell r="B94" t="str">
            <v>LT2124</v>
          </cell>
          <cell r="C94" t="str">
            <v>Thñy thñ bËc 4/4, tµu vËn t¶i sang ngang</v>
          </cell>
          <cell r="D94" t="str">
            <v>c«ng</v>
          </cell>
          <cell r="E94">
            <v>0</v>
          </cell>
          <cell r="F94" t="str">
            <v>KHONG</v>
          </cell>
          <cell r="G94">
            <v>55443</v>
          </cell>
          <cell r="H94">
            <v>115638</v>
          </cell>
          <cell r="I94">
            <v>60195</v>
          </cell>
          <cell r="J94">
            <v>0</v>
          </cell>
        </row>
        <row r="95">
          <cell r="B95" t="str">
            <v>LT2211</v>
          </cell>
          <cell r="C95" t="str">
            <v>Thî m¸y, thî ®iÖn bËc 1/4, tµu vËn t¶i däc s«ng</v>
          </cell>
          <cell r="D95" t="str">
            <v>c«ng</v>
          </cell>
          <cell r="E95">
            <v>0</v>
          </cell>
          <cell r="F95" t="str">
            <v>KHONG</v>
          </cell>
          <cell r="G95">
            <v>37463</v>
          </cell>
          <cell r="H95">
            <v>78138</v>
          </cell>
          <cell r="I95">
            <v>40675</v>
          </cell>
          <cell r="J95">
            <v>0</v>
          </cell>
        </row>
        <row r="96">
          <cell r="B96" t="str">
            <v>LT2212</v>
          </cell>
          <cell r="C96" t="str">
            <v>Thî m¸y, thî ®iÖn bËc 2/4, tµu vËn t¶i däc s«ng</v>
          </cell>
          <cell r="D96" t="str">
            <v>c«ng</v>
          </cell>
          <cell r="E96">
            <v>0</v>
          </cell>
          <cell r="F96" t="str">
            <v>KHONG</v>
          </cell>
          <cell r="G96">
            <v>42552</v>
          </cell>
          <cell r="H96">
            <v>88751</v>
          </cell>
          <cell r="I96">
            <v>46199</v>
          </cell>
          <cell r="J96">
            <v>0</v>
          </cell>
        </row>
        <row r="97">
          <cell r="B97" t="str">
            <v>LT2213</v>
          </cell>
          <cell r="C97" t="str">
            <v>Thî m¸y, thî ®iÖn bËc 3/4, tµu vËn t¶i däc s«ng</v>
          </cell>
          <cell r="D97" t="str">
            <v>c«ng</v>
          </cell>
          <cell r="E97">
            <v>0</v>
          </cell>
          <cell r="F97" t="str">
            <v>KHONG</v>
          </cell>
          <cell r="G97">
            <v>47810</v>
          </cell>
          <cell r="H97">
            <v>99718</v>
          </cell>
          <cell r="I97">
            <v>51908</v>
          </cell>
          <cell r="J97">
            <v>0</v>
          </cell>
        </row>
        <row r="98">
          <cell r="B98" t="str">
            <v>LT2214</v>
          </cell>
          <cell r="C98" t="str">
            <v>Thî m¸y, thî ®iÖn bËc 4/4, tµu vËn t¶i däc s«ng</v>
          </cell>
          <cell r="D98" t="str">
            <v>c«ng</v>
          </cell>
          <cell r="E98">
            <v>0</v>
          </cell>
          <cell r="F98" t="str">
            <v>KHONG</v>
          </cell>
          <cell r="G98">
            <v>53407</v>
          </cell>
          <cell r="H98">
            <v>111392</v>
          </cell>
          <cell r="I98">
            <v>57985</v>
          </cell>
          <cell r="J98">
            <v>0</v>
          </cell>
        </row>
        <row r="99">
          <cell r="B99" t="str">
            <v>LT2221</v>
          </cell>
          <cell r="C99" t="str">
            <v>Thî m¸y, thî ®iÖn bËc 1/4, tµu vËn t¶i sang ngang</v>
          </cell>
          <cell r="D99" t="str">
            <v>c«ng</v>
          </cell>
          <cell r="E99">
            <v>0</v>
          </cell>
          <cell r="F99" t="str">
            <v>KHONG</v>
          </cell>
          <cell r="G99">
            <v>40856</v>
          </cell>
          <cell r="H99">
            <v>85213</v>
          </cell>
          <cell r="I99">
            <v>44357</v>
          </cell>
          <cell r="J99">
            <v>0</v>
          </cell>
        </row>
        <row r="100">
          <cell r="B100" t="str">
            <v>LT2222</v>
          </cell>
          <cell r="C100" t="str">
            <v>Thî m¸y, thî ®iÖn bËc 2/4, tµu vËn t¶i sang ngang</v>
          </cell>
          <cell r="D100" t="str">
            <v>c«ng</v>
          </cell>
          <cell r="E100">
            <v>0</v>
          </cell>
          <cell r="F100" t="str">
            <v>KHONG</v>
          </cell>
          <cell r="G100">
            <v>46453</v>
          </cell>
          <cell r="H100">
            <v>96888</v>
          </cell>
          <cell r="I100">
            <v>50435</v>
          </cell>
          <cell r="J100">
            <v>0</v>
          </cell>
        </row>
        <row r="101">
          <cell r="B101" t="str">
            <v>LT2223</v>
          </cell>
          <cell r="C101" t="str">
            <v>Thî m¸y, thî ®iÖn bËc 3/4, tµu vËn t¶i sang ngang</v>
          </cell>
          <cell r="D101" t="str">
            <v>c«ng</v>
          </cell>
          <cell r="E101">
            <v>0</v>
          </cell>
          <cell r="F101" t="str">
            <v>KHONG</v>
          </cell>
          <cell r="G101">
            <v>52220</v>
          </cell>
          <cell r="H101">
            <v>108916</v>
          </cell>
          <cell r="I101">
            <v>56696</v>
          </cell>
          <cell r="J101">
            <v>0</v>
          </cell>
        </row>
        <row r="102">
          <cell r="B102" t="str">
            <v>LT2224</v>
          </cell>
          <cell r="C102" t="str">
            <v>Thî m¸y, thî ®iÖn bËc 4/4, tµu vËn t¶i sang ngang</v>
          </cell>
          <cell r="D102" t="str">
            <v>c«ng</v>
          </cell>
          <cell r="E102">
            <v>0</v>
          </cell>
          <cell r="F102" t="str">
            <v>KHONG</v>
          </cell>
          <cell r="G102">
            <v>67146</v>
          </cell>
          <cell r="H102">
            <v>140048</v>
          </cell>
          <cell r="I102">
            <v>72902</v>
          </cell>
          <cell r="J102">
            <v>0</v>
          </cell>
        </row>
        <row r="103">
          <cell r="B103" t="str">
            <v>LT3111</v>
          </cell>
          <cell r="C103" t="str">
            <v>ThuyÒn tr­ëng bËc 1/2, tµu vËn t¶i biÓn &lt;200 GRT</v>
          </cell>
          <cell r="D103" t="str">
            <v>c«ng</v>
          </cell>
          <cell r="E103">
            <v>0</v>
          </cell>
          <cell r="F103" t="str">
            <v>KHONG</v>
          </cell>
          <cell r="G103">
            <v>80037</v>
          </cell>
          <cell r="H103">
            <v>166934</v>
          </cell>
          <cell r="I103">
            <v>86897</v>
          </cell>
          <cell r="J103">
            <v>0</v>
          </cell>
        </row>
        <row r="104">
          <cell r="B104" t="str">
            <v>LT3112</v>
          </cell>
          <cell r="C104" t="str">
            <v>ThuyÒn tr­ëng bËc 2/2, tµu vËn t¶i biÓn &lt;200 GRT</v>
          </cell>
          <cell r="D104" t="str">
            <v>c«ng</v>
          </cell>
          <cell r="E104">
            <v>0</v>
          </cell>
          <cell r="F104" t="str">
            <v>KHONG</v>
          </cell>
          <cell r="G104">
            <v>85465</v>
          </cell>
          <cell r="H104">
            <v>178255</v>
          </cell>
          <cell r="I104">
            <v>92790</v>
          </cell>
          <cell r="J104">
            <v>0</v>
          </cell>
        </row>
        <row r="105">
          <cell r="B105" t="str">
            <v>LT3121</v>
          </cell>
          <cell r="C105" t="str">
            <v>ThuyÒn tr­ëng bËc 1/2, tµu vËn t¶i biÓn 200 - 499 GRT</v>
          </cell>
          <cell r="D105" t="str">
            <v>c«ng</v>
          </cell>
          <cell r="E105">
            <v>0</v>
          </cell>
          <cell r="F105" t="str">
            <v>KHONG</v>
          </cell>
          <cell r="G105">
            <v>85465</v>
          </cell>
          <cell r="H105">
            <v>178255</v>
          </cell>
          <cell r="I105">
            <v>92790</v>
          </cell>
          <cell r="J105">
            <v>0</v>
          </cell>
        </row>
        <row r="106">
          <cell r="B106" t="str">
            <v>LT3122</v>
          </cell>
          <cell r="C106" t="str">
            <v>ThuyÒn tr­ëng bËc 2/2, tµu vËn t¶i biÓn 200 - 499 GRT</v>
          </cell>
          <cell r="D106" t="str">
            <v>c«ng</v>
          </cell>
          <cell r="E106">
            <v>0</v>
          </cell>
          <cell r="F106" t="str">
            <v>KHONG</v>
          </cell>
          <cell r="G106">
            <v>90723</v>
          </cell>
          <cell r="H106">
            <v>189222</v>
          </cell>
          <cell r="I106">
            <v>98499</v>
          </cell>
          <cell r="J106">
            <v>0</v>
          </cell>
        </row>
        <row r="107">
          <cell r="B107" t="str">
            <v>LT3131</v>
          </cell>
          <cell r="C107" t="str">
            <v>ThuyÒn tr­ëng bËc 1/2, tµu vËn t¶i biÓn 500 - 1599 GRT</v>
          </cell>
          <cell r="D107" t="str">
            <v>c«ng</v>
          </cell>
          <cell r="E107">
            <v>0</v>
          </cell>
          <cell r="F107" t="str">
            <v>KHONG</v>
          </cell>
          <cell r="G107">
            <v>90723</v>
          </cell>
          <cell r="H107">
            <v>189222</v>
          </cell>
          <cell r="I107">
            <v>98499</v>
          </cell>
          <cell r="J107">
            <v>0</v>
          </cell>
        </row>
        <row r="108">
          <cell r="B108" t="str">
            <v>LT3132</v>
          </cell>
          <cell r="C108" t="str">
            <v>ThuyÒn tr­ëng bËc 2/2, tµu vËn t¶i biÓn 500 - 1599 GRT</v>
          </cell>
          <cell r="D108" t="str">
            <v>c«ng</v>
          </cell>
          <cell r="E108">
            <v>0</v>
          </cell>
          <cell r="F108" t="str">
            <v>KHONG</v>
          </cell>
          <cell r="G108">
            <v>94454</v>
          </cell>
          <cell r="H108">
            <v>197005</v>
          </cell>
          <cell r="I108">
            <v>102551</v>
          </cell>
          <cell r="J108">
            <v>0</v>
          </cell>
        </row>
        <row r="109">
          <cell r="B109" t="str">
            <v>LT3141</v>
          </cell>
          <cell r="C109" t="str">
            <v>ThuyÒn tr­ëng bËc 1/2, tµu vËn t¶i biÓn 1600 - 5999 GRT</v>
          </cell>
          <cell r="D109" t="str">
            <v>c«ng</v>
          </cell>
          <cell r="E109">
            <v>0</v>
          </cell>
          <cell r="F109" t="str">
            <v>KHONG</v>
          </cell>
          <cell r="G109">
            <v>94454</v>
          </cell>
          <cell r="H109">
            <v>197005</v>
          </cell>
          <cell r="I109">
            <v>102551</v>
          </cell>
          <cell r="J109">
            <v>0</v>
          </cell>
        </row>
        <row r="110">
          <cell r="B110" t="str">
            <v>LT3142</v>
          </cell>
          <cell r="C110" t="str">
            <v>ThuyÒn tr­ëng bËc 2/2, tµu vËn t¶i biÓn 1600 - 5999 GRT</v>
          </cell>
          <cell r="D110" t="str">
            <v>c«ng</v>
          </cell>
          <cell r="E110">
            <v>0</v>
          </cell>
          <cell r="F110" t="str">
            <v>KHONG</v>
          </cell>
          <cell r="G110">
            <v>100221</v>
          </cell>
          <cell r="H110">
            <v>209033</v>
          </cell>
          <cell r="I110">
            <v>108812</v>
          </cell>
          <cell r="J110">
            <v>0</v>
          </cell>
        </row>
        <row r="111">
          <cell r="B111" t="str">
            <v>LT3151</v>
          </cell>
          <cell r="C111" t="str">
            <v>ThuyÒn tr­ëng bËc 1/2, tµu vËn t¶i biÓn 6000 - 10000 GRT</v>
          </cell>
          <cell r="D111" t="str">
            <v>c«ng</v>
          </cell>
          <cell r="E111">
            <v>0</v>
          </cell>
          <cell r="F111" t="str">
            <v>KHONG</v>
          </cell>
          <cell r="G111">
            <v>107175</v>
          </cell>
          <cell r="H111">
            <v>223537</v>
          </cell>
          <cell r="I111">
            <v>116362</v>
          </cell>
          <cell r="J111">
            <v>0</v>
          </cell>
        </row>
        <row r="112">
          <cell r="B112" t="str">
            <v>LT3152</v>
          </cell>
          <cell r="C112" t="str">
            <v>ThuyÒn tr­ëng bËc 2/2, tµu vËn t¶i biÓn 6000 - 10000 GRT</v>
          </cell>
          <cell r="D112" t="str">
            <v>c«ng</v>
          </cell>
          <cell r="E112">
            <v>0</v>
          </cell>
          <cell r="F112" t="str">
            <v>KHONG</v>
          </cell>
          <cell r="G112">
            <v>112942</v>
          </cell>
          <cell r="H112">
            <v>235565</v>
          </cell>
          <cell r="I112">
            <v>122623</v>
          </cell>
          <cell r="J112">
            <v>0</v>
          </cell>
        </row>
        <row r="113">
          <cell r="B113" t="str">
            <v>LT3161</v>
          </cell>
          <cell r="C113" t="str">
            <v>ThuyÒn tr­ëng bËc 1/2, tµu vËn t¶i biÓn &gt;=10000 GRT</v>
          </cell>
          <cell r="D113" t="str">
            <v>c«ng</v>
          </cell>
          <cell r="E113">
            <v>0</v>
          </cell>
          <cell r="F113" t="str">
            <v>KHONG</v>
          </cell>
          <cell r="G113">
            <v>115487</v>
          </cell>
          <cell r="H113">
            <v>240872</v>
          </cell>
          <cell r="I113">
            <v>125385</v>
          </cell>
          <cell r="J113">
            <v>0</v>
          </cell>
        </row>
        <row r="114">
          <cell r="B114" t="str">
            <v>LT3162</v>
          </cell>
          <cell r="C114" t="str">
            <v>ThuyÒn tr­ëng bËc 2/2, tµu vËn t¶i biÓn &gt;=10000 GRT</v>
          </cell>
          <cell r="D114" t="str">
            <v>c«ng</v>
          </cell>
          <cell r="E114">
            <v>0</v>
          </cell>
          <cell r="F114" t="str">
            <v>KHONG</v>
          </cell>
          <cell r="G114">
            <v>123967</v>
          </cell>
          <cell r="H114">
            <v>258560</v>
          </cell>
          <cell r="I114">
            <v>134593</v>
          </cell>
          <cell r="J114">
            <v>0</v>
          </cell>
        </row>
        <row r="115">
          <cell r="B115" t="str">
            <v>LT3211</v>
          </cell>
          <cell r="C115" t="str">
            <v>M¸y tr­ëng bËc 1/2, tµu vËn t¶i biÓn &lt;200 GRT</v>
          </cell>
          <cell r="D115" t="str">
            <v>c«ng</v>
          </cell>
          <cell r="E115">
            <v>0</v>
          </cell>
          <cell r="F115" t="str">
            <v>KHONG</v>
          </cell>
          <cell r="G115">
            <v>76645</v>
          </cell>
          <cell r="H115">
            <v>159859</v>
          </cell>
          <cell r="I115">
            <v>83214</v>
          </cell>
          <cell r="J115">
            <v>0</v>
          </cell>
        </row>
        <row r="116">
          <cell r="B116" t="str">
            <v>LT3212</v>
          </cell>
          <cell r="C116" t="str">
            <v>M¸y tr­ëng bËc 2/2, tµu vËn t¶i biÓn &lt;200 GRT</v>
          </cell>
          <cell r="D116" t="str">
            <v>c«ng</v>
          </cell>
          <cell r="E116">
            <v>0</v>
          </cell>
          <cell r="F116" t="str">
            <v>KHONG</v>
          </cell>
          <cell r="G116">
            <v>80037</v>
          </cell>
          <cell r="H116">
            <v>166934</v>
          </cell>
          <cell r="I116">
            <v>86897</v>
          </cell>
          <cell r="J116">
            <v>0</v>
          </cell>
        </row>
        <row r="117">
          <cell r="B117" t="str">
            <v>LT3221</v>
          </cell>
          <cell r="C117" t="str">
            <v>M¸y tr­ëng bËc 1/2, tµu vËn t¶i biÓn 200 - 499 GRT</v>
          </cell>
          <cell r="D117" t="str">
            <v>c«ng</v>
          </cell>
          <cell r="E117">
            <v>0</v>
          </cell>
          <cell r="F117" t="str">
            <v>KHONG</v>
          </cell>
          <cell r="G117">
            <v>80037</v>
          </cell>
          <cell r="H117">
            <v>166934</v>
          </cell>
          <cell r="I117">
            <v>86897</v>
          </cell>
          <cell r="J117">
            <v>0</v>
          </cell>
        </row>
        <row r="118">
          <cell r="B118" t="str">
            <v>LT3222</v>
          </cell>
          <cell r="C118" t="str">
            <v>M¸y tr­ëng bËc 2/2, tµu vËn t¶i biÓn 200 - 499 GRT</v>
          </cell>
          <cell r="D118" t="str">
            <v>c«ng</v>
          </cell>
          <cell r="E118">
            <v>0</v>
          </cell>
          <cell r="F118" t="str">
            <v>KHONG</v>
          </cell>
          <cell r="G118">
            <v>85465</v>
          </cell>
          <cell r="H118">
            <v>178255</v>
          </cell>
          <cell r="I118">
            <v>92790</v>
          </cell>
          <cell r="J118">
            <v>0</v>
          </cell>
        </row>
        <row r="119">
          <cell r="B119" t="str">
            <v>LT3231</v>
          </cell>
          <cell r="C119" t="str">
            <v>M¸y tr­ëng bËc 1/2, tµu vËn t¶i biÓn 500 - 1599 GRT</v>
          </cell>
          <cell r="D119" t="str">
            <v>c«ng</v>
          </cell>
          <cell r="E119">
            <v>0</v>
          </cell>
          <cell r="F119" t="str">
            <v>KHONG</v>
          </cell>
          <cell r="G119">
            <v>85465</v>
          </cell>
          <cell r="H119">
            <v>178255</v>
          </cell>
          <cell r="I119">
            <v>92790</v>
          </cell>
          <cell r="J119">
            <v>0</v>
          </cell>
        </row>
        <row r="120">
          <cell r="B120" t="str">
            <v>LT3232</v>
          </cell>
          <cell r="C120" t="str">
            <v>M¸y tr­ëng bËc 2/2, tµu vËn t¶i biÓn 500 - 1599 GRT</v>
          </cell>
          <cell r="D120" t="str">
            <v>c«ng</v>
          </cell>
          <cell r="E120">
            <v>0</v>
          </cell>
          <cell r="F120" t="str">
            <v>KHONG</v>
          </cell>
          <cell r="G120">
            <v>90723</v>
          </cell>
          <cell r="H120">
            <v>189222</v>
          </cell>
          <cell r="I120">
            <v>98499</v>
          </cell>
          <cell r="J120">
            <v>0</v>
          </cell>
        </row>
        <row r="121">
          <cell r="B121" t="str">
            <v>LT3241</v>
          </cell>
          <cell r="C121" t="str">
            <v>M¸y tr­ëng bËc 1/2, tµu vËn t¶i biÓn 1600 - 5999 GRT</v>
          </cell>
          <cell r="D121" t="str">
            <v>c«ng</v>
          </cell>
          <cell r="E121">
            <v>0</v>
          </cell>
          <cell r="F121" t="str">
            <v>KHONG</v>
          </cell>
          <cell r="G121">
            <v>90723</v>
          </cell>
          <cell r="H121">
            <v>189222</v>
          </cell>
          <cell r="I121">
            <v>98499</v>
          </cell>
          <cell r="J121">
            <v>0</v>
          </cell>
        </row>
        <row r="122">
          <cell r="B122" t="str">
            <v>LT3242</v>
          </cell>
          <cell r="C122" t="str">
            <v>M¸y tr­ëng bËc 2/2, tµu vËn t¶i biÓn 1600 - 5999 GRT</v>
          </cell>
          <cell r="D122" t="str">
            <v>c«ng</v>
          </cell>
          <cell r="E122">
            <v>0</v>
          </cell>
          <cell r="F122" t="str">
            <v>KHONG</v>
          </cell>
          <cell r="G122">
            <v>94454</v>
          </cell>
          <cell r="H122">
            <v>197005</v>
          </cell>
          <cell r="I122">
            <v>102551</v>
          </cell>
          <cell r="J122">
            <v>0</v>
          </cell>
        </row>
        <row r="123">
          <cell r="B123" t="str">
            <v>LT3251</v>
          </cell>
          <cell r="C123" t="str">
            <v>M¸y tr­ëng bËc 1/2, tµu vËn t¶i biÓn 6000 - 10000 GRT</v>
          </cell>
          <cell r="D123" t="str">
            <v>c«ng</v>
          </cell>
          <cell r="E123">
            <v>0</v>
          </cell>
          <cell r="F123" t="str">
            <v>KHONG</v>
          </cell>
          <cell r="G123">
            <v>100221</v>
          </cell>
          <cell r="H123">
            <v>209033</v>
          </cell>
          <cell r="I123">
            <v>108812</v>
          </cell>
          <cell r="J123">
            <v>0</v>
          </cell>
        </row>
        <row r="124">
          <cell r="B124" t="str">
            <v>LT3252</v>
          </cell>
          <cell r="C124" t="str">
            <v>M¸y tr­ëng bËc 2/2, tµu vËn t¶i biÓn 6000 - 10000 GRT</v>
          </cell>
          <cell r="D124" t="str">
            <v>c«ng</v>
          </cell>
          <cell r="E124">
            <v>0</v>
          </cell>
          <cell r="F124" t="str">
            <v>KHONG</v>
          </cell>
          <cell r="G124">
            <v>107175</v>
          </cell>
          <cell r="H124">
            <v>223537</v>
          </cell>
          <cell r="I124">
            <v>116362</v>
          </cell>
          <cell r="J124">
            <v>0</v>
          </cell>
        </row>
        <row r="125">
          <cell r="B125" t="str">
            <v>LT3261</v>
          </cell>
          <cell r="C125" t="str">
            <v>M¸y tr­ëng bËc 1/2, tµu vËn t¶i biÓn &gt;=10000 GRT</v>
          </cell>
          <cell r="D125" t="str">
            <v>c«ng</v>
          </cell>
          <cell r="E125">
            <v>0</v>
          </cell>
          <cell r="F125" t="str">
            <v>KHONG</v>
          </cell>
          <cell r="G125">
            <v>109211</v>
          </cell>
          <cell r="H125">
            <v>227782</v>
          </cell>
          <cell r="I125">
            <v>118571</v>
          </cell>
          <cell r="J125">
            <v>0</v>
          </cell>
        </row>
        <row r="126">
          <cell r="B126" t="str">
            <v>LT3262</v>
          </cell>
          <cell r="C126" t="str">
            <v>M¸y tr­ëng bËc 2/2, tµu vËn t¶i biÓn &gt;=10000 GRT</v>
          </cell>
          <cell r="D126" t="str">
            <v>c«ng</v>
          </cell>
          <cell r="E126">
            <v>0</v>
          </cell>
          <cell r="F126" t="str">
            <v>KHONG</v>
          </cell>
          <cell r="G126">
            <v>115487</v>
          </cell>
          <cell r="H126">
            <v>240872</v>
          </cell>
          <cell r="I126">
            <v>125385</v>
          </cell>
          <cell r="J126">
            <v>0</v>
          </cell>
        </row>
        <row r="127">
          <cell r="B127" t="str">
            <v>LT3311</v>
          </cell>
          <cell r="C127" t="str">
            <v>§¹i phã, m¸y 2 bËc 1/2, tµu vËn t¶i biÓn &lt;200 GRT</v>
          </cell>
          <cell r="D127" t="str">
            <v>c«ng</v>
          </cell>
          <cell r="E127">
            <v>0</v>
          </cell>
          <cell r="F127" t="str">
            <v>KHONG</v>
          </cell>
          <cell r="G127">
            <v>72913</v>
          </cell>
          <cell r="H127">
            <v>152076</v>
          </cell>
          <cell r="I127">
            <v>79163</v>
          </cell>
          <cell r="J127">
            <v>0</v>
          </cell>
        </row>
        <row r="128">
          <cell r="B128" t="str">
            <v>LT3312</v>
          </cell>
          <cell r="C128" t="str">
            <v>§¹i phã, m¸y 2 bËc 2/2, tµu vËn t¶i biÓn &lt;200 GRT</v>
          </cell>
          <cell r="D128" t="str">
            <v>c«ng</v>
          </cell>
          <cell r="E128">
            <v>0</v>
          </cell>
          <cell r="F128" t="str">
            <v>KHONG</v>
          </cell>
          <cell r="G128">
            <v>76645</v>
          </cell>
          <cell r="H128">
            <v>159859</v>
          </cell>
          <cell r="I128">
            <v>83214</v>
          </cell>
          <cell r="J128">
            <v>0</v>
          </cell>
        </row>
        <row r="129">
          <cell r="B129" t="str">
            <v>LT3321</v>
          </cell>
          <cell r="C129" t="str">
            <v>§¹i phã, m¸y 2 bËc 1/2, tµu vËn t¶i biÓn 200 - 499 GRT</v>
          </cell>
          <cell r="D129" t="str">
            <v>c«ng</v>
          </cell>
          <cell r="E129">
            <v>0</v>
          </cell>
          <cell r="F129" t="str">
            <v>KHONG</v>
          </cell>
          <cell r="G129">
            <v>76645</v>
          </cell>
          <cell r="H129">
            <v>159859</v>
          </cell>
          <cell r="I129">
            <v>83214</v>
          </cell>
          <cell r="J129">
            <v>0</v>
          </cell>
        </row>
        <row r="130">
          <cell r="B130" t="str">
            <v>LT3322</v>
          </cell>
          <cell r="C130" t="str">
            <v>§¹i phã, m¸y 2 bËc 2/2, tµu vËn t¶i biÓn 200 - 499 GRT</v>
          </cell>
          <cell r="D130" t="str">
            <v>c«ng</v>
          </cell>
          <cell r="E130">
            <v>0</v>
          </cell>
          <cell r="F130" t="str">
            <v>KHONG</v>
          </cell>
          <cell r="G130">
            <v>80037</v>
          </cell>
          <cell r="H130">
            <v>166934</v>
          </cell>
          <cell r="I130">
            <v>86897</v>
          </cell>
          <cell r="J130">
            <v>0</v>
          </cell>
        </row>
        <row r="131">
          <cell r="B131" t="str">
            <v>LT3331</v>
          </cell>
          <cell r="C131" t="str">
            <v>§¹i phã, m¸y 2 bËc 1/2, tµu vËn t¶i biÓn 500 - 1599 GRT</v>
          </cell>
          <cell r="D131" t="str">
            <v>c«ng</v>
          </cell>
          <cell r="E131">
            <v>0</v>
          </cell>
          <cell r="F131" t="str">
            <v>KHONG</v>
          </cell>
          <cell r="G131">
            <v>80037</v>
          </cell>
          <cell r="H131">
            <v>166934</v>
          </cell>
          <cell r="I131">
            <v>86897</v>
          </cell>
          <cell r="J131">
            <v>0</v>
          </cell>
        </row>
        <row r="132">
          <cell r="B132" t="str">
            <v>LT3332</v>
          </cell>
          <cell r="C132" t="str">
            <v>§¹i phã, m¸y 2 bËc 2/2, tµu vËn t¶i biÓn 500 - 1599 GRT</v>
          </cell>
          <cell r="D132" t="str">
            <v>c«ng</v>
          </cell>
          <cell r="E132">
            <v>0</v>
          </cell>
          <cell r="F132" t="str">
            <v>KHONG</v>
          </cell>
          <cell r="G132">
            <v>85465</v>
          </cell>
          <cell r="H132">
            <v>178255</v>
          </cell>
          <cell r="I132">
            <v>92790</v>
          </cell>
          <cell r="J132">
            <v>0</v>
          </cell>
        </row>
        <row r="133">
          <cell r="B133" t="str">
            <v>LT3341</v>
          </cell>
          <cell r="C133" t="str">
            <v>§¹i phã, m¸y 2 bËc 1/2, tµu vËn t¶i biÓn 1600 - 5999 GRT</v>
          </cell>
          <cell r="D133" t="str">
            <v>c«ng</v>
          </cell>
          <cell r="E133">
            <v>0</v>
          </cell>
          <cell r="F133" t="str">
            <v>KHONG</v>
          </cell>
          <cell r="G133">
            <v>85465</v>
          </cell>
          <cell r="H133">
            <v>178255</v>
          </cell>
          <cell r="I133">
            <v>92790</v>
          </cell>
          <cell r="J133">
            <v>0</v>
          </cell>
        </row>
        <row r="134">
          <cell r="B134" t="str">
            <v>LT3342</v>
          </cell>
          <cell r="C134" t="str">
            <v>§¹i phã, m¸y 2 bËc 2/2, tµu vËn t¶i biÓn 1600 - 5999 GRT</v>
          </cell>
          <cell r="D134" t="str">
            <v>c«ng</v>
          </cell>
          <cell r="E134">
            <v>0</v>
          </cell>
          <cell r="F134" t="str">
            <v>KHONG</v>
          </cell>
          <cell r="G134">
            <v>90723</v>
          </cell>
          <cell r="H134">
            <v>189222</v>
          </cell>
          <cell r="I134">
            <v>98499</v>
          </cell>
          <cell r="J134">
            <v>0</v>
          </cell>
        </row>
        <row r="135">
          <cell r="B135" t="str">
            <v>LT3351</v>
          </cell>
          <cell r="C135" t="str">
            <v>§¹i phã, m¸y 2 bËc 1/2, tµu vËn t¶i biÓn 6000 - 10000 GRT</v>
          </cell>
          <cell r="D135" t="str">
            <v>c«ng</v>
          </cell>
          <cell r="E135">
            <v>0</v>
          </cell>
          <cell r="F135" t="str">
            <v>KHONG</v>
          </cell>
          <cell r="G135">
            <v>94454</v>
          </cell>
          <cell r="H135">
            <v>197005</v>
          </cell>
          <cell r="I135">
            <v>102551</v>
          </cell>
          <cell r="J135">
            <v>0</v>
          </cell>
        </row>
        <row r="136">
          <cell r="B136" t="str">
            <v>LT3352</v>
          </cell>
          <cell r="C136" t="str">
            <v>§¹i phã, m¸y 2 bËc 2/2, tµu vËn t¶i biÓn 6000 - 10000 GRT</v>
          </cell>
          <cell r="D136" t="str">
            <v>c«ng</v>
          </cell>
          <cell r="E136">
            <v>0</v>
          </cell>
          <cell r="F136" t="str">
            <v>KHONG</v>
          </cell>
          <cell r="G136">
            <v>100221</v>
          </cell>
          <cell r="H136">
            <v>209033</v>
          </cell>
          <cell r="I136">
            <v>108812</v>
          </cell>
          <cell r="J136">
            <v>0</v>
          </cell>
        </row>
        <row r="137">
          <cell r="B137" t="str">
            <v>LT3361</v>
          </cell>
          <cell r="C137" t="str">
            <v>§¹i phã, m¸y 2 bËc 1/2, tµu vËn t¶i biÓn &gt;=10000 GRT</v>
          </cell>
          <cell r="D137" t="str">
            <v>c«ng</v>
          </cell>
          <cell r="E137">
            <v>0</v>
          </cell>
          <cell r="F137" t="str">
            <v>KHONG</v>
          </cell>
          <cell r="G137">
            <v>103444</v>
          </cell>
          <cell r="H137">
            <v>215754</v>
          </cell>
          <cell r="I137">
            <v>112310</v>
          </cell>
          <cell r="J137">
            <v>0</v>
          </cell>
        </row>
        <row r="138">
          <cell r="B138" t="str">
            <v>LT3362</v>
          </cell>
          <cell r="C138" t="str">
            <v>§¹i phã, m¸y 2 bËc 2/2, tµu vËn t¶i biÓn &gt;=10000 GRT</v>
          </cell>
          <cell r="D138" t="str">
            <v>c«ng</v>
          </cell>
          <cell r="E138">
            <v>0</v>
          </cell>
          <cell r="F138" t="str">
            <v>KHONG</v>
          </cell>
          <cell r="G138">
            <v>109211</v>
          </cell>
          <cell r="H138">
            <v>227782</v>
          </cell>
          <cell r="I138">
            <v>118571</v>
          </cell>
          <cell r="J138">
            <v>0</v>
          </cell>
        </row>
        <row r="139">
          <cell r="B139" t="str">
            <v>LT3411</v>
          </cell>
          <cell r="C139" t="str">
            <v>ThuyÒn phã 2, m¸y 3 bËc 1/2, tµu vËn t¶i biÓn &lt;200 GRT</v>
          </cell>
          <cell r="D139" t="str">
            <v>c«ng</v>
          </cell>
          <cell r="E139">
            <v>0</v>
          </cell>
          <cell r="F139" t="str">
            <v>KHONG</v>
          </cell>
          <cell r="G139">
            <v>64772</v>
          </cell>
          <cell r="H139">
            <v>135095</v>
          </cell>
          <cell r="I139">
            <v>70323</v>
          </cell>
          <cell r="J139">
            <v>0</v>
          </cell>
        </row>
        <row r="140">
          <cell r="B140" t="str">
            <v>LT3412</v>
          </cell>
          <cell r="C140" t="str">
            <v>ThuyÒn phã 2, m¸y 3 bËc 2/2, tµu vËn t¶i biÓn &lt;200 GRT</v>
          </cell>
          <cell r="D140" t="str">
            <v>c«ng</v>
          </cell>
          <cell r="E140">
            <v>0</v>
          </cell>
          <cell r="F140" t="str">
            <v>KHONG</v>
          </cell>
          <cell r="G140">
            <v>69012</v>
          </cell>
          <cell r="H140">
            <v>143939</v>
          </cell>
          <cell r="I140">
            <v>74927</v>
          </cell>
          <cell r="J140">
            <v>0</v>
          </cell>
        </row>
        <row r="141">
          <cell r="B141" t="str">
            <v>LT3421</v>
          </cell>
          <cell r="C141" t="str">
            <v>ThuyÒn phã 2, m¸y 3 bËc 1/2, tµu vËn t¶i biÓn 200 - 499 GRT</v>
          </cell>
          <cell r="D141" t="str">
            <v>c«ng</v>
          </cell>
          <cell r="E141">
            <v>0</v>
          </cell>
          <cell r="F141" t="str">
            <v>KHONG</v>
          </cell>
          <cell r="G141">
            <v>69012</v>
          </cell>
          <cell r="H141">
            <v>143939</v>
          </cell>
          <cell r="I141">
            <v>74927</v>
          </cell>
          <cell r="J141">
            <v>0</v>
          </cell>
        </row>
        <row r="142">
          <cell r="B142" t="str">
            <v>LT3422</v>
          </cell>
          <cell r="C142" t="str">
            <v>ThuyÒn phã 2, m¸y 3 bËc 2/2, tµu vËn t¶i biÓn 200 - 499 GRT</v>
          </cell>
          <cell r="D142" t="str">
            <v>c«ng</v>
          </cell>
          <cell r="E142">
            <v>0</v>
          </cell>
          <cell r="F142" t="str">
            <v>KHONG</v>
          </cell>
          <cell r="G142">
            <v>73252</v>
          </cell>
          <cell r="H142">
            <v>152783</v>
          </cell>
          <cell r="I142">
            <v>79531</v>
          </cell>
          <cell r="J142">
            <v>0</v>
          </cell>
        </row>
        <row r="143">
          <cell r="B143" t="str">
            <v>LT3431</v>
          </cell>
          <cell r="C143" t="str">
            <v>ThuyÒn phã 2, m¸y 3 bËc 1/2, tµu vËn t¶i biÓn 500 - 1599 GRT</v>
          </cell>
          <cell r="D143" t="str">
            <v>c«ng</v>
          </cell>
          <cell r="E143">
            <v>0</v>
          </cell>
          <cell r="F143" t="str">
            <v>KHONG</v>
          </cell>
          <cell r="G143">
            <v>73252</v>
          </cell>
          <cell r="H143">
            <v>152783</v>
          </cell>
          <cell r="I143">
            <v>79531</v>
          </cell>
          <cell r="J143">
            <v>0</v>
          </cell>
        </row>
        <row r="144">
          <cell r="B144" t="str">
            <v>LT3432</v>
          </cell>
          <cell r="C144" t="str">
            <v>ThuyÒn phã 2, m¸y 3 bËc 2/2, tµu vËn t¶i biÓn 500 - 1599 GRT</v>
          </cell>
          <cell r="D144" t="str">
            <v>c«ng</v>
          </cell>
          <cell r="E144">
            <v>0</v>
          </cell>
          <cell r="F144" t="str">
            <v>KHONG</v>
          </cell>
          <cell r="G144">
            <v>76814</v>
          </cell>
          <cell r="H144">
            <v>160213</v>
          </cell>
          <cell r="I144">
            <v>83399</v>
          </cell>
          <cell r="J144">
            <v>0</v>
          </cell>
        </row>
        <row r="145">
          <cell r="B145" t="str">
            <v>LT3441</v>
          </cell>
          <cell r="C145" t="str">
            <v>ThuyÒn phã 2, m¸y 3 bËc 1/2, tµu vËn t¶i biÓn 1600 - 5999 GRT</v>
          </cell>
          <cell r="D145" t="str">
            <v>c«ng</v>
          </cell>
          <cell r="E145">
            <v>0</v>
          </cell>
          <cell r="F145" t="str">
            <v>KHONG</v>
          </cell>
          <cell r="G145">
            <v>76814</v>
          </cell>
          <cell r="H145">
            <v>160213</v>
          </cell>
          <cell r="I145">
            <v>83399</v>
          </cell>
          <cell r="J145">
            <v>0</v>
          </cell>
        </row>
        <row r="146">
          <cell r="B146" t="str">
            <v>LT3442</v>
          </cell>
          <cell r="C146" t="str">
            <v>ThuyÒn phã 2, m¸y 3 bËc 2/2, tµu vËn t¶i biÓn 1600 - 5999 GRT</v>
          </cell>
          <cell r="D146" t="str">
            <v>c«ng</v>
          </cell>
          <cell r="E146">
            <v>0</v>
          </cell>
          <cell r="F146" t="str">
            <v>KHONG</v>
          </cell>
          <cell r="G146">
            <v>82072</v>
          </cell>
          <cell r="H146">
            <v>171179</v>
          </cell>
          <cell r="I146">
            <v>89107</v>
          </cell>
          <cell r="J146">
            <v>0</v>
          </cell>
        </row>
        <row r="147">
          <cell r="B147" t="str">
            <v>LT3451</v>
          </cell>
          <cell r="C147" t="str">
            <v>ThuyÒn phã 2, m¸y 3 bËc 1/2, tµu vËn t¶i biÓn 6000 - 10000 GRT</v>
          </cell>
          <cell r="D147" t="str">
            <v>c«ng</v>
          </cell>
          <cell r="E147">
            <v>0</v>
          </cell>
          <cell r="F147" t="str">
            <v>KHONG</v>
          </cell>
          <cell r="G147">
            <v>85465</v>
          </cell>
          <cell r="H147">
            <v>178255</v>
          </cell>
          <cell r="I147">
            <v>92790</v>
          </cell>
          <cell r="J147">
            <v>0</v>
          </cell>
        </row>
        <row r="148">
          <cell r="B148" t="str">
            <v>LT3452</v>
          </cell>
          <cell r="C148" t="str">
            <v>ThuyÒn phã 2, m¸y 3 bËc 2/2, tµu vËn t¶i biÓn 6000 - 10000 GRT</v>
          </cell>
          <cell r="D148" t="str">
            <v>c«ng</v>
          </cell>
          <cell r="E148">
            <v>0</v>
          </cell>
          <cell r="F148" t="str">
            <v>KHONG</v>
          </cell>
          <cell r="G148">
            <v>90723</v>
          </cell>
          <cell r="H148">
            <v>189222</v>
          </cell>
          <cell r="I148">
            <v>98499</v>
          </cell>
          <cell r="J148">
            <v>0</v>
          </cell>
        </row>
        <row r="149">
          <cell r="B149" t="str">
            <v>LT3461</v>
          </cell>
          <cell r="C149" t="str">
            <v>ThuyÒn phã 2, m¸y 3 bËc 1/2, tµu vËn t¶i biÓn &gt;=10000 GRT</v>
          </cell>
          <cell r="D149" t="str">
            <v>c«ng</v>
          </cell>
          <cell r="E149">
            <v>0</v>
          </cell>
          <cell r="F149" t="str">
            <v>KHONG</v>
          </cell>
          <cell r="G149">
            <v>92249</v>
          </cell>
          <cell r="H149">
            <v>192406</v>
          </cell>
          <cell r="I149">
            <v>100157</v>
          </cell>
          <cell r="J149">
            <v>0</v>
          </cell>
        </row>
        <row r="150">
          <cell r="B150" t="str">
            <v>LT3462</v>
          </cell>
          <cell r="C150" t="str">
            <v>ThuyÒn phã 2, m¸y 3 bËc 2/2, tµu vËn t¶i biÓn &gt;=10000 GRT</v>
          </cell>
          <cell r="D150" t="str">
            <v>c«ng</v>
          </cell>
          <cell r="E150">
            <v>0</v>
          </cell>
          <cell r="F150" t="str">
            <v>KHONG</v>
          </cell>
          <cell r="G150">
            <v>98016</v>
          </cell>
          <cell r="H150">
            <v>204434</v>
          </cell>
          <cell r="I150">
            <v>106418</v>
          </cell>
          <cell r="J150">
            <v>0</v>
          </cell>
        </row>
        <row r="151">
          <cell r="B151" t="str">
            <v>LT4101</v>
          </cell>
          <cell r="C151" t="str">
            <v>Thñy thñ bËc 1/4, tµu vËn t¶i biÓn</v>
          </cell>
          <cell r="D151" t="str">
            <v>c«ng</v>
          </cell>
          <cell r="E151">
            <v>0</v>
          </cell>
          <cell r="F151" t="str">
            <v>KHONG</v>
          </cell>
          <cell r="G151">
            <v>39668</v>
          </cell>
          <cell r="H151">
            <v>82737</v>
          </cell>
          <cell r="I151">
            <v>43069</v>
          </cell>
          <cell r="J151">
            <v>0</v>
          </cell>
        </row>
        <row r="152">
          <cell r="B152" t="str">
            <v>LT4102</v>
          </cell>
          <cell r="C152" t="str">
            <v>Thñy thñ bËc 2/4, tµu vËn t¶i biÓn</v>
          </cell>
          <cell r="D152" t="str">
            <v>c«ng</v>
          </cell>
          <cell r="E152">
            <v>0</v>
          </cell>
          <cell r="F152" t="str">
            <v>KHONG</v>
          </cell>
          <cell r="G152">
            <v>46623</v>
          </cell>
          <cell r="H152">
            <v>97242</v>
          </cell>
          <cell r="I152">
            <v>50619</v>
          </cell>
          <cell r="J152">
            <v>0</v>
          </cell>
        </row>
        <row r="153">
          <cell r="B153" t="str">
            <v>LT4103</v>
          </cell>
          <cell r="C153" t="str">
            <v>Thñy thñ bËc 3/4, tµu vËn t¶i biÓn</v>
          </cell>
          <cell r="D153" t="str">
            <v>c«ng</v>
          </cell>
          <cell r="E153">
            <v>0</v>
          </cell>
          <cell r="F153" t="str">
            <v>KHONG</v>
          </cell>
          <cell r="G153">
            <v>54934</v>
          </cell>
          <cell r="H153">
            <v>114576</v>
          </cell>
          <cell r="I153">
            <v>59642</v>
          </cell>
          <cell r="J153">
            <v>0</v>
          </cell>
        </row>
        <row r="154">
          <cell r="B154" t="str">
            <v>LT4104</v>
          </cell>
          <cell r="C154" t="str">
            <v>Thñy thñ bËc 4/4, tµu vËn t¶i biÓn</v>
          </cell>
          <cell r="D154" t="str">
            <v>c«ng</v>
          </cell>
          <cell r="E154">
            <v>0</v>
          </cell>
          <cell r="F154" t="str">
            <v>KHONG</v>
          </cell>
          <cell r="G154">
            <v>65959</v>
          </cell>
          <cell r="H154">
            <v>137571</v>
          </cell>
          <cell r="I154">
            <v>71612</v>
          </cell>
          <cell r="J154">
            <v>0</v>
          </cell>
        </row>
        <row r="155">
          <cell r="B155" t="str">
            <v>LT4201</v>
          </cell>
          <cell r="C155" t="str">
            <v>Thî m¸y kiªm c¬ khÝ, thî b¬m bËc 1/4, tµu vËn t¶i biÓn</v>
          </cell>
          <cell r="D155" t="str">
            <v>c«ng</v>
          </cell>
          <cell r="E155">
            <v>0</v>
          </cell>
          <cell r="F155" t="str">
            <v>KHONG</v>
          </cell>
          <cell r="G155">
            <v>45266</v>
          </cell>
          <cell r="H155">
            <v>94411</v>
          </cell>
          <cell r="I155">
            <v>49145</v>
          </cell>
          <cell r="J155">
            <v>0</v>
          </cell>
        </row>
        <row r="156">
          <cell r="B156" t="str">
            <v>LT4202</v>
          </cell>
          <cell r="C156" t="str">
            <v>Thî m¸y kiªm c¬ khÝ, thî b¬m bËc 2/4, tµu vËn t¶i biÓn</v>
          </cell>
          <cell r="D156" t="str">
            <v>c«ng</v>
          </cell>
          <cell r="E156">
            <v>0</v>
          </cell>
          <cell r="F156" t="str">
            <v>KHONG</v>
          </cell>
          <cell r="G156">
            <v>52390</v>
          </cell>
          <cell r="H156">
            <v>109270</v>
          </cell>
          <cell r="I156">
            <v>56880</v>
          </cell>
          <cell r="J156">
            <v>0</v>
          </cell>
        </row>
        <row r="157">
          <cell r="B157" t="str">
            <v>LT4203</v>
          </cell>
          <cell r="C157" t="str">
            <v>Thî m¸y kiªm c¬ khÝ, thî b¬m bËc 3/4, tµu vËn t¶i biÓn</v>
          </cell>
          <cell r="D157" t="str">
            <v>c«ng</v>
          </cell>
          <cell r="E157">
            <v>0</v>
          </cell>
          <cell r="F157" t="str">
            <v>KHONG</v>
          </cell>
          <cell r="G157">
            <v>61888</v>
          </cell>
          <cell r="H157">
            <v>129081</v>
          </cell>
          <cell r="I157">
            <v>67193</v>
          </cell>
          <cell r="J157">
            <v>0</v>
          </cell>
        </row>
        <row r="158">
          <cell r="B158" t="str">
            <v>LT4204</v>
          </cell>
          <cell r="C158" t="str">
            <v>Thî m¸y kiªm c¬ khÝ, thî b¬m bËc 4/4, tµu vËn t¶i biÓn</v>
          </cell>
          <cell r="D158" t="str">
            <v>c«ng</v>
          </cell>
          <cell r="E158">
            <v>0</v>
          </cell>
          <cell r="F158" t="str">
            <v>KHONG</v>
          </cell>
          <cell r="G158">
            <v>73252</v>
          </cell>
          <cell r="H158">
            <v>152783</v>
          </cell>
          <cell r="I158">
            <v>79531</v>
          </cell>
          <cell r="J158">
            <v>0</v>
          </cell>
        </row>
        <row r="159">
          <cell r="B159" t="str">
            <v>LT4301</v>
          </cell>
          <cell r="C159" t="str">
            <v>Thî m¸y, thî ®iÖn, v« tuyÕn ®iÖn bËc 1/4, tµu vËn t¶i biÓn</v>
          </cell>
          <cell r="D159" t="str">
            <v>c«ng</v>
          </cell>
          <cell r="E159">
            <v>0</v>
          </cell>
          <cell r="F159" t="str">
            <v>KHONG</v>
          </cell>
          <cell r="G159">
            <v>42552</v>
          </cell>
          <cell r="H159">
            <v>88751</v>
          </cell>
          <cell r="I159">
            <v>46199</v>
          </cell>
          <cell r="J159">
            <v>0</v>
          </cell>
        </row>
        <row r="160">
          <cell r="B160" t="str">
            <v>LT4302</v>
          </cell>
          <cell r="C160" t="str">
            <v>Thî m¸y, thî ®iÖn, v« tuyÕn ®iÖn bËc 2/4, tµu vËn t¶i biÓn</v>
          </cell>
          <cell r="D160" t="str">
            <v>c«ng</v>
          </cell>
          <cell r="E160">
            <v>0</v>
          </cell>
          <cell r="F160" t="str">
            <v>KHONG</v>
          </cell>
          <cell r="G160">
            <v>48828</v>
          </cell>
          <cell r="H160">
            <v>101841</v>
          </cell>
          <cell r="I160">
            <v>53013</v>
          </cell>
          <cell r="J160">
            <v>0</v>
          </cell>
        </row>
        <row r="161">
          <cell r="B161" t="str">
            <v>LT4303</v>
          </cell>
          <cell r="C161" t="str">
            <v>Thî m¸y, thî ®iÖn, v« tuyÕn ®iÖn bËc 3/4, tµu vËn t¶i biÓn</v>
          </cell>
          <cell r="D161" t="str">
            <v>c«ng</v>
          </cell>
          <cell r="E161">
            <v>0</v>
          </cell>
          <cell r="F161" t="str">
            <v>KHONG</v>
          </cell>
          <cell r="G161">
            <v>57817</v>
          </cell>
          <cell r="H161">
            <v>120590</v>
          </cell>
          <cell r="I161">
            <v>62773</v>
          </cell>
          <cell r="J161">
            <v>0</v>
          </cell>
        </row>
        <row r="162">
          <cell r="B162" t="str">
            <v>LT4304</v>
          </cell>
          <cell r="C162" t="str">
            <v>Thî m¸y, thî ®iÖn, v« tuyÕn ®iÖn bËc 4/4, tµu vËn t¶i biÓn</v>
          </cell>
          <cell r="D162" t="str">
            <v>c«ng</v>
          </cell>
          <cell r="E162">
            <v>0</v>
          </cell>
          <cell r="F162" t="str">
            <v>KHONG</v>
          </cell>
          <cell r="G162">
            <v>69012</v>
          </cell>
          <cell r="H162">
            <v>143939</v>
          </cell>
          <cell r="I162">
            <v>74927</v>
          </cell>
          <cell r="J162">
            <v>0</v>
          </cell>
        </row>
        <row r="163">
          <cell r="B163" t="str">
            <v>LT5111</v>
          </cell>
          <cell r="C163" t="str">
            <v>ThuyÒn tr­ëng bËc 1/2, tµu hót bông 300 - 800 m3/h</v>
          </cell>
          <cell r="D163" t="str">
            <v>c«ng</v>
          </cell>
          <cell r="E163">
            <v>0</v>
          </cell>
          <cell r="F163" t="str">
            <v>KHONG</v>
          </cell>
          <cell r="G163">
            <v>90723</v>
          </cell>
          <cell r="H163">
            <v>189222</v>
          </cell>
          <cell r="I163">
            <v>98499</v>
          </cell>
          <cell r="J163">
            <v>0</v>
          </cell>
        </row>
        <row r="164">
          <cell r="B164" t="str">
            <v>LT5112</v>
          </cell>
          <cell r="C164" t="str">
            <v>ThuyÒn tr­ëng bËc 2/2, tµu hót bông 300 - 800 m3/h</v>
          </cell>
          <cell r="D164" t="str">
            <v>c«ng</v>
          </cell>
          <cell r="E164">
            <v>0</v>
          </cell>
          <cell r="F164" t="str">
            <v>KHONG</v>
          </cell>
          <cell r="G164">
            <v>94454</v>
          </cell>
          <cell r="H164">
            <v>197005</v>
          </cell>
          <cell r="I164">
            <v>102551</v>
          </cell>
          <cell r="J164">
            <v>0</v>
          </cell>
        </row>
        <row r="165">
          <cell r="B165" t="str">
            <v>LT5121</v>
          </cell>
          <cell r="C165" t="str">
            <v>ThuyÒn tr­ëng bËc 1/2, tµu hót bông &gt;=800 m3/h</v>
          </cell>
          <cell r="D165" t="str">
            <v>c«ng</v>
          </cell>
          <cell r="E165">
            <v>0</v>
          </cell>
          <cell r="F165" t="str">
            <v>KHONG</v>
          </cell>
          <cell r="G165">
            <v>94454</v>
          </cell>
          <cell r="H165">
            <v>197005</v>
          </cell>
          <cell r="I165">
            <v>102551</v>
          </cell>
          <cell r="J165">
            <v>0</v>
          </cell>
        </row>
        <row r="166">
          <cell r="B166" t="str">
            <v>LT5122</v>
          </cell>
          <cell r="C166" t="str">
            <v>ThuyÒn tr­ëng bËc 2/2, tµu hót bông &gt;=800 m3/h</v>
          </cell>
          <cell r="D166" t="str">
            <v>c«ng</v>
          </cell>
          <cell r="E166">
            <v>0</v>
          </cell>
          <cell r="F166" t="str">
            <v>KHONG</v>
          </cell>
          <cell r="G166">
            <v>100221</v>
          </cell>
          <cell r="H166">
            <v>209033</v>
          </cell>
          <cell r="I166">
            <v>108812</v>
          </cell>
          <cell r="J166">
            <v>0</v>
          </cell>
        </row>
        <row r="167">
          <cell r="B167" t="str">
            <v>LT5211</v>
          </cell>
          <cell r="C167" t="str">
            <v>M¸y tr­ëng, thuyÒn tr­ëng bËc 1/2, tµu cuèc, tµu hót phun, tµu NV b»ng gÇu ngo¹m 300 - 800 m3/h</v>
          </cell>
          <cell r="D167" t="str">
            <v>c«ng</v>
          </cell>
          <cell r="E167">
            <v>0</v>
          </cell>
          <cell r="F167" t="str">
            <v>KHONG</v>
          </cell>
          <cell r="G167">
            <v>86143</v>
          </cell>
          <cell r="H167">
            <v>179670</v>
          </cell>
          <cell r="I167">
            <v>93527</v>
          </cell>
          <cell r="J167">
            <v>0</v>
          </cell>
        </row>
        <row r="168">
          <cell r="B168" t="str">
            <v>LT5212</v>
          </cell>
          <cell r="C168" t="str">
            <v>M¸y tr­ëng, thuyÒn tr­ëng bËc 2/2, tµu cuèc, tµu hót phun, tµu NV b»ng gÇu ngo¹m 300 - 800 m3/h</v>
          </cell>
          <cell r="D168" t="str">
            <v>c«ng</v>
          </cell>
          <cell r="E168">
            <v>0</v>
          </cell>
          <cell r="F168" t="str">
            <v>KHONG</v>
          </cell>
          <cell r="G168">
            <v>90723</v>
          </cell>
          <cell r="H168">
            <v>189222</v>
          </cell>
          <cell r="I168">
            <v>98499</v>
          </cell>
          <cell r="J168">
            <v>0</v>
          </cell>
        </row>
        <row r="169">
          <cell r="B169" t="str">
            <v>LT5221</v>
          </cell>
          <cell r="C169" t="str">
            <v>M¸y tr­ëng, thuyÒn tr­ëng bËc 1/2, tµu cuèc, tµu hót phun, tµu NV b»ng gÇu ngo¹m &gt;=800 m3/h</v>
          </cell>
          <cell r="D169" t="str">
            <v>c«ng</v>
          </cell>
          <cell r="E169">
            <v>0</v>
          </cell>
          <cell r="F169" t="str">
            <v>KHONG</v>
          </cell>
          <cell r="G169">
            <v>90723</v>
          </cell>
          <cell r="H169">
            <v>189222</v>
          </cell>
          <cell r="I169">
            <v>98499</v>
          </cell>
          <cell r="J169">
            <v>0</v>
          </cell>
        </row>
        <row r="170">
          <cell r="B170" t="str">
            <v>LT5222</v>
          </cell>
          <cell r="C170" t="str">
            <v>M¸y tr­ëng, thuyÒn tr­ëng bËc 2/2, tµu cuèc, tµu hót phun, tµu NV b»ng gÇu ngo¹m &gt;=800 m3/h</v>
          </cell>
          <cell r="D170" t="str">
            <v>c«ng</v>
          </cell>
          <cell r="E170">
            <v>0</v>
          </cell>
          <cell r="F170" t="str">
            <v>KHONG</v>
          </cell>
          <cell r="G170">
            <v>94454</v>
          </cell>
          <cell r="H170">
            <v>197005</v>
          </cell>
          <cell r="I170">
            <v>102551</v>
          </cell>
          <cell r="J170">
            <v>0</v>
          </cell>
        </row>
        <row r="171">
          <cell r="B171" t="str">
            <v>LT5311</v>
          </cell>
          <cell r="C171" t="str">
            <v>§iÖn tr­ëng, ®¹i phã tµu cuèc; kü thuËt viªn cuèc 1 tµu hót bông; thuyÒn phã 2, m¸y 3 tµu hót bông; m¸y 3, kü thuËt viªn cuèc 2 tµu cuèc, tµu hót phun, tµu nv b»ng gÇu ngo¹m,  300 - 800 m3/h, bËc 1/2</v>
          </cell>
          <cell r="D171" t="str">
            <v>c«ng</v>
          </cell>
          <cell r="E171">
            <v>0</v>
          </cell>
          <cell r="F171" t="str">
            <v>KHONG</v>
          </cell>
          <cell r="G171">
            <v>76814</v>
          </cell>
          <cell r="H171">
            <v>160213</v>
          </cell>
          <cell r="I171">
            <v>83399</v>
          </cell>
          <cell r="J171">
            <v>0</v>
          </cell>
        </row>
        <row r="172">
          <cell r="B172" t="str">
            <v>LT5312</v>
          </cell>
          <cell r="C172" t="str">
            <v>§iÖn tr­ëng, ®¹i phã tµu cuèc; kü thuËt viªn cuèc 1 tµu hót bông; thuyÒn phã 2, m¸y 3 tµu hót bông; m¸y 3, kü thuËt viªn cuèc 2 tµu cuèc, tµu hót phun, tµu nv b»ng gÇu ngo¹m,  300 - 800 m3/h, bËc 2/2</v>
          </cell>
          <cell r="D172" t="str">
            <v>c«ng</v>
          </cell>
          <cell r="E172">
            <v>0</v>
          </cell>
          <cell r="F172" t="str">
            <v>KHONG</v>
          </cell>
          <cell r="G172">
            <v>82072</v>
          </cell>
          <cell r="H172">
            <v>171179</v>
          </cell>
          <cell r="I172">
            <v>89107</v>
          </cell>
          <cell r="J172">
            <v>0</v>
          </cell>
        </row>
        <row r="173">
          <cell r="B173" t="str">
            <v>LT5321</v>
          </cell>
          <cell r="C173" t="str">
            <v>§iÖn tr­ëng, ®¹i phã tµu cuèc; kü thuËt viªn cuèc 1 tµu hót bông; thuyÒn phã 2, m¸y 3 tµu hót bông; m¸y 3, kü thuËt viªn cuèc 2 tµu cuèc, tµu hót phun, tµu nv b»ng gÇu ngo¹m,  &gt;= 800 m3/h, bËc 1/2</v>
          </cell>
          <cell r="D173" t="str">
            <v>c«ng</v>
          </cell>
          <cell r="E173">
            <v>0</v>
          </cell>
          <cell r="F173" t="str">
            <v>KHONG</v>
          </cell>
          <cell r="G173">
            <v>82072</v>
          </cell>
          <cell r="H173">
            <v>171179</v>
          </cell>
          <cell r="I173">
            <v>89107</v>
          </cell>
          <cell r="J173">
            <v>0</v>
          </cell>
        </row>
        <row r="174">
          <cell r="B174" t="str">
            <v>LT5322</v>
          </cell>
          <cell r="C174" t="str">
            <v>§iÖn tr­ëng, ®¹i phã tµu cuèc; kü thuËt viªn cuèc 1 tµu hót bông; thuyÒn phã 2, m¸y 3 tµu hót bông; m¸y 3, kü thuËt viªn cuèc 2 tµu cuèc, tµu hót phun, tµu nv b»ng gÇu ngo¹m,  &gt;= 800 m3/h, bËc 2/2</v>
          </cell>
          <cell r="D174" t="str">
            <v>c«ng</v>
          </cell>
          <cell r="E174">
            <v>0</v>
          </cell>
          <cell r="F174" t="str">
            <v>KHONG</v>
          </cell>
          <cell r="G174">
            <v>86143</v>
          </cell>
          <cell r="H174">
            <v>179670</v>
          </cell>
          <cell r="I174">
            <v>93527</v>
          </cell>
          <cell r="J174">
            <v>0</v>
          </cell>
        </row>
        <row r="175">
          <cell r="B175" t="str">
            <v>LT5411</v>
          </cell>
          <cell r="C175" t="str">
            <v>§¹i phã, m¸y 2 tµu hót bông; m¸y 2, kü thuËt viªn cuèc 1 tµu cuèc, tµu hót phun, tµu nv b»ng gÇu ngo¹m, 300 - 800 m3/h, bËc 1/2</v>
          </cell>
          <cell r="D175" t="str">
            <v>c«ng</v>
          </cell>
          <cell r="E175">
            <v>0</v>
          </cell>
          <cell r="F175" t="str">
            <v>KHONG</v>
          </cell>
          <cell r="G175">
            <v>82072</v>
          </cell>
          <cell r="H175">
            <v>171179</v>
          </cell>
          <cell r="I175">
            <v>89107</v>
          </cell>
          <cell r="J175">
            <v>0</v>
          </cell>
        </row>
        <row r="176">
          <cell r="B176" t="str">
            <v>LT5412</v>
          </cell>
          <cell r="C176" t="str">
            <v>§¹i phã, m¸y 2 tµu hót bông; m¸y 2, kü thuËt viªn cuèc 1 tµu cuèc, tµu hót phun, tµu nv b»ng gÇu ngo¹m, 300 - 800 m3/h, bËc 2/2</v>
          </cell>
          <cell r="D176" t="str">
            <v>c«ng</v>
          </cell>
          <cell r="E176">
            <v>0</v>
          </cell>
          <cell r="F176" t="str">
            <v>KHONG</v>
          </cell>
          <cell r="G176">
            <v>86143</v>
          </cell>
          <cell r="H176">
            <v>179670</v>
          </cell>
          <cell r="I176">
            <v>93527</v>
          </cell>
          <cell r="J176">
            <v>0</v>
          </cell>
        </row>
        <row r="177">
          <cell r="B177" t="str">
            <v>LT5421</v>
          </cell>
          <cell r="C177" t="str">
            <v>§¹i phã, m¸y 2 tµu hót bông; m¸y 2, kü thuËt viªn cuèc 1 tµu cuèc, tµu hót phun, tµu nv b»ng gÇu ngo¹m, &gt;=800 m3/h, bËc 1/2</v>
          </cell>
          <cell r="D177" t="str">
            <v>c«ng</v>
          </cell>
          <cell r="E177">
            <v>0</v>
          </cell>
          <cell r="F177" t="str">
            <v>KHONG</v>
          </cell>
          <cell r="G177">
            <v>86143</v>
          </cell>
          <cell r="H177">
            <v>179670</v>
          </cell>
          <cell r="I177">
            <v>93527</v>
          </cell>
          <cell r="J177">
            <v>0</v>
          </cell>
        </row>
        <row r="178">
          <cell r="B178" t="str">
            <v>LT5422</v>
          </cell>
          <cell r="C178" t="str">
            <v>§¹i phã, m¸y 2 tµu hót bông; m¸y 2, kü thuËt viªn cuèc 1 tµu cuèc, tµu hót phun, tµu nv b»ng gÇu ngo¹m, &gt;=800 m3/h, bËc 2/2</v>
          </cell>
          <cell r="D178" t="str">
            <v>c«ng</v>
          </cell>
          <cell r="E178">
            <v>0</v>
          </cell>
          <cell r="F178" t="str">
            <v>KHONG</v>
          </cell>
          <cell r="G178">
            <v>90723</v>
          </cell>
          <cell r="H178">
            <v>189222</v>
          </cell>
          <cell r="I178">
            <v>98499</v>
          </cell>
          <cell r="J178">
            <v>0</v>
          </cell>
        </row>
        <row r="179">
          <cell r="B179" t="str">
            <v>LT5511</v>
          </cell>
          <cell r="C179" t="str">
            <v>ThuyÒn phã 2 tµu cuèc, kü thuËt viªn cuèc 2 tµu hót; thuyÒn phã 3, m¸y 4 tµu hót, bông; m¸y 3, kü thuËt viªn cuèc 3 tµu cuèc, tµu hót phun, tµu nv b»ng gÇu ngo¹m, 300 - 800 m3/h, bËc 1/2</v>
          </cell>
          <cell r="D179" t="str">
            <v>c«ng</v>
          </cell>
          <cell r="E179">
            <v>0</v>
          </cell>
          <cell r="F179" t="str">
            <v>KHONG</v>
          </cell>
          <cell r="G179">
            <v>73252</v>
          </cell>
          <cell r="H179">
            <v>152783</v>
          </cell>
          <cell r="I179">
            <v>79531</v>
          </cell>
          <cell r="J179">
            <v>0</v>
          </cell>
        </row>
        <row r="180">
          <cell r="B180" t="str">
            <v>LT5512</v>
          </cell>
          <cell r="C180" t="str">
            <v>ThuyÒn phã 2 tµu cuèc, kü thuËt viªn cuèc 2 tµu hót; thuyÒn phã 3, m¸y 4 tµu hót, bông; m¸y 3, kü thuËt viªn cuèc 3 tµu cuèc, tµu hót phun, tµu nv b»ng gÇu ngo¹m, 300 - 800 m3/h, bËc 2/2</v>
          </cell>
          <cell r="D180" t="str">
            <v>c«ng</v>
          </cell>
          <cell r="E180">
            <v>0</v>
          </cell>
          <cell r="F180" t="str">
            <v>KHONG</v>
          </cell>
          <cell r="G180">
            <v>76814</v>
          </cell>
          <cell r="H180">
            <v>160213</v>
          </cell>
          <cell r="I180">
            <v>83399</v>
          </cell>
          <cell r="J180">
            <v>0</v>
          </cell>
        </row>
        <row r="181">
          <cell r="B181" t="str">
            <v>LT5521</v>
          </cell>
          <cell r="C181" t="str">
            <v>ThuyÒn phã 2 tµu cuèc, kü thuËt viªn cuèc 2 tµu hót; thuyÒn phã 3, m¸y 4 tµu hót, bông; m¸y 3, kü thuËt viªn cuèc 3 tµu cuèc, tµu hót phun, tµu nv b»ng gÇu ngo¹m, &gt;=800 m3/h, bËc 1/2</v>
          </cell>
          <cell r="D181" t="str">
            <v>c«ng</v>
          </cell>
          <cell r="E181">
            <v>0</v>
          </cell>
          <cell r="F181" t="str">
            <v>KHONG</v>
          </cell>
          <cell r="G181">
            <v>76814</v>
          </cell>
          <cell r="H181">
            <v>160213</v>
          </cell>
          <cell r="I181">
            <v>83399</v>
          </cell>
          <cell r="J181">
            <v>0</v>
          </cell>
        </row>
        <row r="182">
          <cell r="B182" t="str">
            <v>LT5522</v>
          </cell>
          <cell r="C182" t="str">
            <v>ThuyÒn phã 2 tµu cuèc, kü thuËt viªn cuèc 2 tµu hót; thuyÒn phã 3, m¸y 4 tµu hót, bông; m¸y 3, kü thuËt viªn cuèc 3 tµu cuèc, tµu hót phun, tµu nv b»ng gÇu ngo¹m, &gt;=800 m3/h, bËc 2/2</v>
          </cell>
          <cell r="D182" t="str">
            <v>c«ng</v>
          </cell>
          <cell r="E182">
            <v>0</v>
          </cell>
          <cell r="F182" t="str">
            <v>KHONG</v>
          </cell>
          <cell r="G182">
            <v>82072</v>
          </cell>
          <cell r="H182">
            <v>171179</v>
          </cell>
          <cell r="I182">
            <v>89107</v>
          </cell>
          <cell r="J182">
            <v>0</v>
          </cell>
        </row>
        <row r="183">
          <cell r="B183" t="str">
            <v>LT5611</v>
          </cell>
          <cell r="C183" t="str">
            <v> ThuyÒn phã 3 tµu cuèc, tµu hót phun, tµu nv b»ng gÇu ngo¹m; kü thuËt viªn, cuèc 3 tµu hót bông, 300 - 800 m3/h, bËc 1/2</v>
          </cell>
          <cell r="D183" t="str">
            <v>c«ng</v>
          </cell>
          <cell r="E183">
            <v>0</v>
          </cell>
          <cell r="F183" t="str">
            <v>KHONG</v>
          </cell>
          <cell r="G183">
            <v>69012</v>
          </cell>
          <cell r="H183">
            <v>143939</v>
          </cell>
          <cell r="I183">
            <v>74927</v>
          </cell>
          <cell r="J183">
            <v>0</v>
          </cell>
        </row>
        <row r="184">
          <cell r="B184" t="str">
            <v>LT5612</v>
          </cell>
          <cell r="C184" t="str">
            <v> ThuyÒn phã 3 tµu cuèc, tµu hót phun, tµu nv b»ng gÇu ngo¹m; kü thuËt viªn, cuèc 3 tµu hót bông, 300 - 800, bËc 1/2</v>
          </cell>
          <cell r="D184" t="str">
            <v>c«ng</v>
          </cell>
          <cell r="E184">
            <v>0</v>
          </cell>
          <cell r="F184" t="str">
            <v>KHONG</v>
          </cell>
          <cell r="G184">
            <v>73252</v>
          </cell>
          <cell r="H184">
            <v>152783</v>
          </cell>
          <cell r="I184">
            <v>79531</v>
          </cell>
          <cell r="J184">
            <v>0</v>
          </cell>
        </row>
        <row r="185">
          <cell r="B185" t="str">
            <v>LT5621</v>
          </cell>
          <cell r="C185" t="str">
            <v> ThuyÒn phã 3 tµu cuèc, tµu hót phun, tµu nv b»ng gÇu ngo¹m; kü thuËt viªn, cuèc 3 tµu hót bông, &gt;=800, bËc 1/2</v>
          </cell>
          <cell r="D185" t="str">
            <v>c«ng</v>
          </cell>
          <cell r="E185">
            <v>0</v>
          </cell>
          <cell r="F185" t="str">
            <v>KHONG</v>
          </cell>
          <cell r="G185">
            <v>73252</v>
          </cell>
          <cell r="H185">
            <v>152783</v>
          </cell>
          <cell r="I185">
            <v>79531</v>
          </cell>
          <cell r="J185">
            <v>0</v>
          </cell>
        </row>
        <row r="186">
          <cell r="B186" t="str">
            <v>LT5622</v>
          </cell>
          <cell r="C186" t="str">
            <v> ThuyÒn phã 3 tµu cuèc, tµu hót phun, tµu nv b»ng gÇu ngo¹m; kü thuËt viªn, cuèc 3 tµu hót bông, &gt;=800, bËc 2/2</v>
          </cell>
          <cell r="D186" t="str">
            <v>c«ng</v>
          </cell>
          <cell r="E186">
            <v>0</v>
          </cell>
          <cell r="F186" t="str">
            <v>KHONG</v>
          </cell>
          <cell r="G186">
            <v>76814</v>
          </cell>
          <cell r="H186">
            <v>160213</v>
          </cell>
          <cell r="I186">
            <v>83399</v>
          </cell>
          <cell r="J186">
            <v>0</v>
          </cell>
        </row>
        <row r="187">
          <cell r="B187" t="str">
            <v>LT5701</v>
          </cell>
          <cell r="C187" t="str">
            <v>Thî m¸y, ®iÖn, ®iÖn b¸o bËc 1/4, tµu n¹o vÐt biÓn</v>
          </cell>
          <cell r="D187" t="str">
            <v>c«ng</v>
          </cell>
          <cell r="E187">
            <v>0</v>
          </cell>
          <cell r="F187" t="str">
            <v>KHONG</v>
          </cell>
          <cell r="G187">
            <v>42552</v>
          </cell>
          <cell r="H187">
            <v>88751</v>
          </cell>
          <cell r="I187">
            <v>46199</v>
          </cell>
          <cell r="J187">
            <v>0</v>
          </cell>
        </row>
        <row r="188">
          <cell r="B188" t="str">
            <v>LT5702</v>
          </cell>
          <cell r="C188" t="str">
            <v>Thî m¸y, ®iÖn, ®iÖn b¸o bËc 2/4, tµu n¹o vÐt biÓn</v>
          </cell>
          <cell r="D188" t="str">
            <v>c«ng</v>
          </cell>
          <cell r="E188">
            <v>0</v>
          </cell>
          <cell r="F188" t="str">
            <v>KHONG</v>
          </cell>
          <cell r="G188">
            <v>47810</v>
          </cell>
          <cell r="H188">
            <v>99718</v>
          </cell>
          <cell r="I188">
            <v>51908</v>
          </cell>
          <cell r="J188">
            <v>0</v>
          </cell>
        </row>
        <row r="189">
          <cell r="B189" t="str">
            <v>LT5703</v>
          </cell>
          <cell r="C189" t="str">
            <v>Thî m¸y, ®iÖn, ®iÖn b¸o bËc 3/4, tµu n¹o vÐt biÓn</v>
          </cell>
          <cell r="D189" t="str">
            <v>c«ng</v>
          </cell>
          <cell r="E189">
            <v>0</v>
          </cell>
          <cell r="F189" t="str">
            <v>KHONG</v>
          </cell>
          <cell r="G189">
            <v>55612</v>
          </cell>
          <cell r="H189">
            <v>115991</v>
          </cell>
          <cell r="I189">
            <v>60379</v>
          </cell>
          <cell r="J189">
            <v>0</v>
          </cell>
        </row>
        <row r="190">
          <cell r="B190" t="str">
            <v>LT5704</v>
          </cell>
          <cell r="C190" t="str">
            <v>Thî m¸y, ®iÖn, ®iÖn b¸o bËc 4/4, tµu n¹o vÐt biÓn</v>
          </cell>
          <cell r="D190" t="str">
            <v>c«ng</v>
          </cell>
          <cell r="E190">
            <v>0</v>
          </cell>
          <cell r="F190" t="str">
            <v>KHONG</v>
          </cell>
          <cell r="G190">
            <v>65959</v>
          </cell>
          <cell r="H190">
            <v>137571</v>
          </cell>
          <cell r="I190">
            <v>71612</v>
          </cell>
          <cell r="J190">
            <v>0</v>
          </cell>
        </row>
        <row r="191">
          <cell r="B191" t="str">
            <v>LT5801</v>
          </cell>
          <cell r="C191" t="str">
            <v>Thuû thñ, thî cuèc bËc 1/4, tµu n¹o vÐt biÓn</v>
          </cell>
          <cell r="D191" t="str">
            <v>c«ng</v>
          </cell>
          <cell r="E191">
            <v>0</v>
          </cell>
          <cell r="F191" t="str">
            <v>KHONG</v>
          </cell>
          <cell r="G191">
            <v>39668</v>
          </cell>
          <cell r="H191">
            <v>82737</v>
          </cell>
          <cell r="I191">
            <v>43069</v>
          </cell>
          <cell r="J191">
            <v>0</v>
          </cell>
        </row>
        <row r="192">
          <cell r="B192" t="str">
            <v>LT5802</v>
          </cell>
          <cell r="C192" t="str">
            <v>Thuû thñ, thî cuèc bËc 2/4, tµu n¹o vÐt biÓn</v>
          </cell>
          <cell r="D192" t="str">
            <v>c«ng</v>
          </cell>
          <cell r="E192">
            <v>0</v>
          </cell>
          <cell r="F192" t="str">
            <v>KHONG</v>
          </cell>
          <cell r="G192">
            <v>46623</v>
          </cell>
          <cell r="H192">
            <v>97242</v>
          </cell>
          <cell r="I192">
            <v>50619</v>
          </cell>
          <cell r="J192">
            <v>0</v>
          </cell>
        </row>
        <row r="193">
          <cell r="B193" t="str">
            <v>LT5803</v>
          </cell>
          <cell r="C193" t="str">
            <v>Thuû thñ, thî cuèc bËc 3/4, tµu n¹o vÐt biÓn</v>
          </cell>
          <cell r="D193" t="str">
            <v>c«ng</v>
          </cell>
          <cell r="E193">
            <v>0</v>
          </cell>
          <cell r="F193" t="str">
            <v>KHONG</v>
          </cell>
          <cell r="G193">
            <v>54934</v>
          </cell>
          <cell r="H193">
            <v>114576</v>
          </cell>
          <cell r="I193">
            <v>59642</v>
          </cell>
          <cell r="J193">
            <v>0</v>
          </cell>
        </row>
        <row r="194">
          <cell r="B194" t="str">
            <v>LT5804</v>
          </cell>
          <cell r="C194" t="str">
            <v>Thuû thñ, thî cuèc bËc 4/4, tµu n¹o vÐt biÓn</v>
          </cell>
          <cell r="D194" t="str">
            <v>c«ng</v>
          </cell>
          <cell r="E194">
            <v>0</v>
          </cell>
          <cell r="F194" t="str">
            <v>KHONG</v>
          </cell>
          <cell r="G194">
            <v>65959</v>
          </cell>
          <cell r="H194">
            <v>137571</v>
          </cell>
          <cell r="I194">
            <v>71612</v>
          </cell>
          <cell r="J194">
            <v>0</v>
          </cell>
        </row>
        <row r="195">
          <cell r="B195" t="str">
            <v>LT6111</v>
          </cell>
          <cell r="C195" t="str">
            <v>ThuyÒn tr­ëng bËc 1/2, tµu hót &lt;150 m3/h</v>
          </cell>
          <cell r="D195" t="str">
            <v>c«ng</v>
          </cell>
          <cell r="E195">
            <v>0</v>
          </cell>
          <cell r="F195" t="str">
            <v>KHONG</v>
          </cell>
          <cell r="G195">
            <v>69012</v>
          </cell>
          <cell r="H195">
            <v>143939</v>
          </cell>
          <cell r="I195">
            <v>74927</v>
          </cell>
          <cell r="J195">
            <v>0</v>
          </cell>
        </row>
        <row r="196">
          <cell r="B196" t="str">
            <v>LT6112</v>
          </cell>
          <cell r="C196" t="str">
            <v>ThuyÒn tr­ëng bËc 2/2, tµu hót &lt;150 m3/h</v>
          </cell>
          <cell r="D196" t="str">
            <v>c«ng</v>
          </cell>
          <cell r="E196">
            <v>0</v>
          </cell>
          <cell r="F196" t="str">
            <v>KHONG</v>
          </cell>
          <cell r="G196">
            <v>73252</v>
          </cell>
          <cell r="H196">
            <v>152783</v>
          </cell>
          <cell r="I196">
            <v>79531</v>
          </cell>
          <cell r="J196">
            <v>0</v>
          </cell>
        </row>
        <row r="197">
          <cell r="B197" t="str">
            <v>LT6121</v>
          </cell>
          <cell r="C197" t="str">
            <v>ThuyÒn tr­ëng bËc 1/2, tµu hót 150 - 300 m3/h</v>
          </cell>
          <cell r="D197" t="str">
            <v>c«ng</v>
          </cell>
          <cell r="E197">
            <v>0</v>
          </cell>
          <cell r="F197" t="str">
            <v>KHONG</v>
          </cell>
          <cell r="G197">
            <v>76814</v>
          </cell>
          <cell r="H197">
            <v>160213</v>
          </cell>
          <cell r="I197">
            <v>83399</v>
          </cell>
          <cell r="J197">
            <v>0</v>
          </cell>
        </row>
        <row r="198">
          <cell r="B198" t="str">
            <v>LT6122</v>
          </cell>
          <cell r="C198" t="str">
            <v>ThuyÒn tr­ëng bËc 2/2, tµu hót 150 - 300 m3/h</v>
          </cell>
          <cell r="D198" t="str">
            <v>c«ng</v>
          </cell>
          <cell r="E198">
            <v>0</v>
          </cell>
          <cell r="F198" t="str">
            <v>KHONG</v>
          </cell>
          <cell r="G198">
            <v>82072</v>
          </cell>
          <cell r="H198">
            <v>171179</v>
          </cell>
          <cell r="I198">
            <v>89107</v>
          </cell>
          <cell r="J198">
            <v>0</v>
          </cell>
        </row>
        <row r="199">
          <cell r="B199" t="str">
            <v>LT6131</v>
          </cell>
          <cell r="C199" t="str">
            <v>ThuyÒn tr­ëng bËc 1/2, tµu hót &gt;300 m3/h, tµu cuèc &lt;300 m3/h</v>
          </cell>
          <cell r="D199" t="str">
            <v>c«ng</v>
          </cell>
          <cell r="E199">
            <v>0</v>
          </cell>
          <cell r="F199" t="str">
            <v>KHONG</v>
          </cell>
          <cell r="G199">
            <v>85465</v>
          </cell>
          <cell r="H199">
            <v>178255</v>
          </cell>
          <cell r="I199">
            <v>92790</v>
          </cell>
          <cell r="J199">
            <v>0</v>
          </cell>
        </row>
        <row r="200">
          <cell r="B200" t="str">
            <v>LT6132</v>
          </cell>
          <cell r="C200" t="str">
            <v>ThuyÒn tr­ëng bËc 2/2, tµu hót &gt;300 m3/h, tµu cuèc &lt;300 m3/h</v>
          </cell>
          <cell r="D200" t="str">
            <v>c«ng</v>
          </cell>
          <cell r="E200">
            <v>0</v>
          </cell>
          <cell r="F200" t="str">
            <v>KHONG</v>
          </cell>
          <cell r="G200">
            <v>90723</v>
          </cell>
          <cell r="H200">
            <v>189222</v>
          </cell>
          <cell r="I200">
            <v>98499</v>
          </cell>
          <cell r="J200">
            <v>0</v>
          </cell>
        </row>
        <row r="201">
          <cell r="B201" t="str">
            <v>LT6211</v>
          </cell>
          <cell r="C201" t="str">
            <v>M¸y tr­ëng bËc 1/2, tµu hót &lt;150 m3/h</v>
          </cell>
          <cell r="D201" t="str">
            <v>c«ng</v>
          </cell>
          <cell r="E201">
            <v>0</v>
          </cell>
          <cell r="F201" t="str">
            <v>KHONG</v>
          </cell>
          <cell r="G201">
            <v>62058</v>
          </cell>
          <cell r="H201">
            <v>129435</v>
          </cell>
          <cell r="I201">
            <v>67377</v>
          </cell>
          <cell r="J201">
            <v>0</v>
          </cell>
        </row>
        <row r="202">
          <cell r="B202" t="str">
            <v>LT6212</v>
          </cell>
          <cell r="C202" t="str">
            <v>M¸y tr­ëng bËc 2/2, tµu hót &lt;150 m3/h</v>
          </cell>
          <cell r="D202" t="str">
            <v>c«ng</v>
          </cell>
          <cell r="E202">
            <v>0</v>
          </cell>
          <cell r="F202" t="str">
            <v>KHONG</v>
          </cell>
          <cell r="G202">
            <v>65959</v>
          </cell>
          <cell r="H202">
            <v>137571</v>
          </cell>
          <cell r="I202">
            <v>71612</v>
          </cell>
          <cell r="J202">
            <v>0</v>
          </cell>
        </row>
        <row r="203">
          <cell r="B203" t="str">
            <v>LT6221</v>
          </cell>
          <cell r="C203" t="str">
            <v>M¸y tr­ëng bËc 1/2, tµu hót 150 - 300 m3/h</v>
          </cell>
          <cell r="D203" t="str">
            <v>c«ng</v>
          </cell>
          <cell r="E203">
            <v>0</v>
          </cell>
          <cell r="F203" t="str">
            <v>KHONG</v>
          </cell>
          <cell r="G203">
            <v>73252</v>
          </cell>
          <cell r="H203">
            <v>152783</v>
          </cell>
          <cell r="I203">
            <v>79531</v>
          </cell>
          <cell r="J203">
            <v>0</v>
          </cell>
        </row>
        <row r="204">
          <cell r="B204" t="str">
            <v>LT6222</v>
          </cell>
          <cell r="C204" t="str">
            <v>M¸y tr­ëng bËc 2/2, tµu hót 150 - 300 m3/h</v>
          </cell>
          <cell r="D204" t="str">
            <v>c«ng</v>
          </cell>
          <cell r="E204">
            <v>0</v>
          </cell>
          <cell r="F204" t="str">
            <v>KHONG</v>
          </cell>
          <cell r="G204">
            <v>76814</v>
          </cell>
          <cell r="H204">
            <v>160213</v>
          </cell>
          <cell r="I204">
            <v>83399</v>
          </cell>
          <cell r="J204">
            <v>0</v>
          </cell>
        </row>
        <row r="205">
          <cell r="B205" t="str">
            <v>LT6231</v>
          </cell>
          <cell r="C205" t="str">
            <v>M¸y tr­ëng bËc 1/2, tµu hót &gt;300 m3/h, tµu cuèc &lt;300 m3/h</v>
          </cell>
          <cell r="D205" t="str">
            <v>c«ng</v>
          </cell>
          <cell r="E205">
            <v>0</v>
          </cell>
          <cell r="F205" t="str">
            <v>KHONG</v>
          </cell>
          <cell r="G205">
            <v>82581</v>
          </cell>
          <cell r="H205">
            <v>172241</v>
          </cell>
          <cell r="I205">
            <v>89660</v>
          </cell>
          <cell r="J205">
            <v>0</v>
          </cell>
        </row>
        <row r="206">
          <cell r="B206" t="str">
            <v>LT6232</v>
          </cell>
          <cell r="C206" t="str">
            <v>M¸y tr­ëng bËc 2/2, tµu hót &gt;300 m3/h, tµu cuèc &lt;300 m3/h</v>
          </cell>
          <cell r="D206" t="str">
            <v>c«ng</v>
          </cell>
          <cell r="E206">
            <v>0</v>
          </cell>
          <cell r="F206" t="str">
            <v>KHONG</v>
          </cell>
          <cell r="G206">
            <v>88687</v>
          </cell>
          <cell r="H206">
            <v>184976</v>
          </cell>
          <cell r="I206">
            <v>96289</v>
          </cell>
          <cell r="J206">
            <v>0</v>
          </cell>
        </row>
        <row r="207">
          <cell r="B207" t="str">
            <v>LT6331</v>
          </cell>
          <cell r="C207" t="str">
            <v>§iÖn tr­ëng bËc 1/2, tµu hót &gt;300 m3/h, tµu cuèc &lt;300 m3/h</v>
          </cell>
          <cell r="D207" t="str">
            <v>c«ng</v>
          </cell>
          <cell r="E207">
            <v>0</v>
          </cell>
          <cell r="F207" t="str">
            <v>KHONG</v>
          </cell>
          <cell r="G207">
            <v>73252</v>
          </cell>
          <cell r="H207">
            <v>152783</v>
          </cell>
          <cell r="I207">
            <v>79531</v>
          </cell>
          <cell r="J207">
            <v>0</v>
          </cell>
        </row>
        <row r="208">
          <cell r="B208" t="str">
            <v>LT6332</v>
          </cell>
          <cell r="C208" t="str">
            <v>§iÖn tr­ëng bËc 2/2, tµu hót &gt;300 m3/h, tµu cuèc &lt;300 m3/h</v>
          </cell>
          <cell r="D208" t="str">
            <v>c«ng</v>
          </cell>
          <cell r="E208">
            <v>0</v>
          </cell>
          <cell r="F208" t="str">
            <v>KHONG</v>
          </cell>
          <cell r="G208">
            <v>76645</v>
          </cell>
          <cell r="H208">
            <v>159859</v>
          </cell>
          <cell r="I208">
            <v>83214</v>
          </cell>
          <cell r="J208">
            <v>0</v>
          </cell>
        </row>
        <row r="209">
          <cell r="B209" t="str">
            <v>LT6411</v>
          </cell>
          <cell r="C209" t="str">
            <v>M¸y 2, kü thuËt viªn cuèc 1 bËc 1/2, tµu hót &lt;150m3/h</v>
          </cell>
          <cell r="D209" t="str">
            <v>c«ng</v>
          </cell>
          <cell r="E209">
            <v>0</v>
          </cell>
          <cell r="F209" t="str">
            <v>KHONG</v>
          </cell>
          <cell r="G209">
            <v>61718</v>
          </cell>
          <cell r="H209">
            <v>128727</v>
          </cell>
          <cell r="I209">
            <v>67009</v>
          </cell>
          <cell r="J209">
            <v>0</v>
          </cell>
        </row>
        <row r="210">
          <cell r="B210" t="str">
            <v>LT6412</v>
          </cell>
          <cell r="C210" t="str">
            <v>M¸y 2, kü thuËt viªn cuèc 1 bËc 2/2, tµu hót &lt;150m3/h</v>
          </cell>
          <cell r="D210" t="str">
            <v>c«ng</v>
          </cell>
          <cell r="E210">
            <v>0</v>
          </cell>
          <cell r="F210" t="str">
            <v>KHONG</v>
          </cell>
          <cell r="G210">
            <v>65620</v>
          </cell>
          <cell r="H210">
            <v>136864</v>
          </cell>
          <cell r="I210">
            <v>71244</v>
          </cell>
          <cell r="J210">
            <v>0</v>
          </cell>
        </row>
        <row r="211">
          <cell r="B211" t="str">
            <v>LT6421</v>
          </cell>
          <cell r="C211" t="str">
            <v>M¸y 2, kü thuËt viªn cuèc 1 bËc 1/2, tµu hót 150 - 300m3/h</v>
          </cell>
          <cell r="D211" t="str">
            <v>c«ng</v>
          </cell>
          <cell r="E211">
            <v>0</v>
          </cell>
          <cell r="F211" t="str">
            <v>KHONG</v>
          </cell>
          <cell r="G211">
            <v>72065</v>
          </cell>
          <cell r="H211">
            <v>150307</v>
          </cell>
          <cell r="I211">
            <v>78242</v>
          </cell>
          <cell r="J211">
            <v>0</v>
          </cell>
        </row>
        <row r="212">
          <cell r="B212" t="str">
            <v>LT6422</v>
          </cell>
          <cell r="C212" t="str">
            <v>M¸y 2, kü thuËt viªn cuèc 1 bËc 2/2, tµu hót 150 - 300m3/h</v>
          </cell>
          <cell r="D212" t="str">
            <v>c«ng</v>
          </cell>
          <cell r="E212">
            <v>0</v>
          </cell>
          <cell r="F212" t="str">
            <v>KHONG</v>
          </cell>
          <cell r="G212">
            <v>75627</v>
          </cell>
          <cell r="H212">
            <v>157736</v>
          </cell>
          <cell r="I212">
            <v>82109</v>
          </cell>
          <cell r="J212">
            <v>0</v>
          </cell>
        </row>
        <row r="213">
          <cell r="B213" t="str">
            <v>LT6431</v>
          </cell>
          <cell r="C213" t="str">
            <v>M¸y 2, kü thuËt viªn cuèc 1 bËc 1/2, tµu hót &gt;300m3/h, tµu cuèc &lt;300m3/h</v>
          </cell>
          <cell r="D213" t="str">
            <v>c«ng</v>
          </cell>
          <cell r="E213">
            <v>0</v>
          </cell>
          <cell r="F213" t="str">
            <v>KHONG</v>
          </cell>
          <cell r="G213">
            <v>82072</v>
          </cell>
          <cell r="H213">
            <v>171179</v>
          </cell>
          <cell r="I213">
            <v>89107</v>
          </cell>
          <cell r="J213">
            <v>0</v>
          </cell>
        </row>
        <row r="214">
          <cell r="B214" t="str">
            <v>LT6432</v>
          </cell>
          <cell r="C214" t="str">
            <v>M¸y 2, kü thuËt viªn cuèc 1 bËc 2/2, tµu hót &gt;300m3/h, tµu cuèc &lt;300m3/h</v>
          </cell>
          <cell r="D214" t="str">
            <v>c«ng</v>
          </cell>
          <cell r="E214">
            <v>0</v>
          </cell>
          <cell r="F214" t="str">
            <v>KHONG</v>
          </cell>
          <cell r="G214">
            <v>86143</v>
          </cell>
          <cell r="H214">
            <v>179670</v>
          </cell>
          <cell r="I214">
            <v>93527</v>
          </cell>
          <cell r="J214">
            <v>0</v>
          </cell>
        </row>
        <row r="215">
          <cell r="B215" t="str">
            <v>LT6511</v>
          </cell>
          <cell r="C215" t="str">
            <v>M¸y 3, kü thuËt viªn cuèc 2 bËc 1/2, tµu hót &lt;150m3/h</v>
          </cell>
          <cell r="D215" t="str">
            <v>c«ng</v>
          </cell>
          <cell r="E215">
            <v>0</v>
          </cell>
          <cell r="F215" t="str">
            <v>KHONG</v>
          </cell>
          <cell r="G215">
            <v>56460</v>
          </cell>
          <cell r="H215">
            <v>117760</v>
          </cell>
          <cell r="I215">
            <v>61300</v>
          </cell>
          <cell r="J215">
            <v>0</v>
          </cell>
        </row>
        <row r="216">
          <cell r="B216" t="str">
            <v>LT6512</v>
          </cell>
          <cell r="C216" t="str">
            <v>M¸y 3, kü thuËt viªn cuèc 2 bËc 2/2, tµu hót &lt;150m3/h</v>
          </cell>
          <cell r="D216" t="str">
            <v>c«ng</v>
          </cell>
          <cell r="E216">
            <v>0</v>
          </cell>
          <cell r="F216" t="str">
            <v>KHONG</v>
          </cell>
          <cell r="G216">
            <v>62058</v>
          </cell>
          <cell r="H216">
            <v>129435</v>
          </cell>
          <cell r="I216">
            <v>67377</v>
          </cell>
          <cell r="J216">
            <v>0</v>
          </cell>
        </row>
        <row r="217">
          <cell r="B217" t="str">
            <v>LT6521</v>
          </cell>
          <cell r="C217" t="str">
            <v>M¸y 3, kü thuËt viªn cuèc 2 bËc 1/2, tµu hót 150 - 300m3/h</v>
          </cell>
          <cell r="D217" t="str">
            <v>c«ng</v>
          </cell>
          <cell r="E217">
            <v>0</v>
          </cell>
          <cell r="F217" t="str">
            <v>KHONG</v>
          </cell>
          <cell r="G217">
            <v>65959</v>
          </cell>
          <cell r="H217">
            <v>137571</v>
          </cell>
          <cell r="I217">
            <v>71612</v>
          </cell>
          <cell r="J217">
            <v>0</v>
          </cell>
        </row>
        <row r="218">
          <cell r="B218" t="str">
            <v>LT6522</v>
          </cell>
          <cell r="C218" t="str">
            <v>M¸y 3, kü thuËt viªn cuèc 2 bËc 2/2, tµu hót 150 - 300m3/h</v>
          </cell>
          <cell r="D218" t="str">
            <v>c«ng</v>
          </cell>
          <cell r="E218">
            <v>0</v>
          </cell>
          <cell r="F218" t="str">
            <v>KHONG</v>
          </cell>
          <cell r="G218">
            <v>69012</v>
          </cell>
          <cell r="H218">
            <v>143939</v>
          </cell>
          <cell r="I218">
            <v>74927</v>
          </cell>
          <cell r="J218">
            <v>0</v>
          </cell>
        </row>
        <row r="219">
          <cell r="B219" t="str">
            <v>LT6531</v>
          </cell>
          <cell r="C219" t="str">
            <v>M¸y 3, kü thuËt viªn cuèc 2 bËc 1/2, tµu hót &gt;300m3/h, tµu cuèc &lt;300m3/h</v>
          </cell>
          <cell r="D219" t="str">
            <v>c«ng</v>
          </cell>
          <cell r="E219">
            <v>0</v>
          </cell>
          <cell r="F219" t="str">
            <v>KHONG</v>
          </cell>
          <cell r="G219">
            <v>76814</v>
          </cell>
          <cell r="H219">
            <v>160213</v>
          </cell>
          <cell r="I219">
            <v>83399</v>
          </cell>
          <cell r="J219">
            <v>0</v>
          </cell>
        </row>
        <row r="220">
          <cell r="B220" t="str">
            <v>LT6532</v>
          </cell>
          <cell r="C220" t="str">
            <v>M¸y 3, kü thuËt viªn cuèc 2 bËc 2/2, tµu hót &gt;300m3/h, tµu cuèc &lt;300m3/h</v>
          </cell>
          <cell r="D220" t="str">
            <v>c«ng</v>
          </cell>
          <cell r="E220">
            <v>0</v>
          </cell>
          <cell r="F220" t="str">
            <v>KHONG</v>
          </cell>
          <cell r="G220">
            <v>82072</v>
          </cell>
          <cell r="H220">
            <v>171179</v>
          </cell>
          <cell r="I220">
            <v>89107</v>
          </cell>
          <cell r="J220">
            <v>0</v>
          </cell>
        </row>
        <row r="221">
          <cell r="B221" t="str">
            <v>LT6631</v>
          </cell>
          <cell r="C221" t="str">
            <v>M¸y 4, kü thuËt viªn cuèc 3 bËc 1/2, tµu hót &gt;300m3/h, tµu cuèc &lt;300m3/h</v>
          </cell>
          <cell r="D221" t="str">
            <v>c«ng</v>
          </cell>
          <cell r="E221">
            <v>0</v>
          </cell>
          <cell r="F221" t="str">
            <v>KHONG</v>
          </cell>
          <cell r="G221">
            <v>73252</v>
          </cell>
          <cell r="H221">
            <v>152783</v>
          </cell>
          <cell r="I221">
            <v>79531</v>
          </cell>
          <cell r="J221">
            <v>0</v>
          </cell>
        </row>
        <row r="222">
          <cell r="B222" t="str">
            <v>LT6632</v>
          </cell>
          <cell r="C222" t="str">
            <v>M¸y 4, kü thuËt viªn cuèc 3 bËc 2/2, tµu hót &gt;300m3/h, tµu cuèc &lt;300m3/h</v>
          </cell>
          <cell r="D222" t="str">
            <v>c«ng</v>
          </cell>
          <cell r="E222">
            <v>0</v>
          </cell>
          <cell r="F222" t="str">
            <v>KHONG</v>
          </cell>
          <cell r="G222">
            <v>76645</v>
          </cell>
          <cell r="H222">
            <v>159859</v>
          </cell>
          <cell r="I222">
            <v>83214</v>
          </cell>
          <cell r="J222">
            <v>0</v>
          </cell>
        </row>
        <row r="223">
          <cell r="B223" t="str">
            <v>LT6701</v>
          </cell>
          <cell r="C223" t="str">
            <v>Thî m¸y, ®iÖn, ®iÖn b¸o bËc 1/4, tµu n¹o vÐt s«ng</v>
          </cell>
          <cell r="D223" t="str">
            <v>c«ng</v>
          </cell>
          <cell r="E223">
            <v>0</v>
          </cell>
          <cell r="F223" t="str">
            <v>KHONG</v>
          </cell>
          <cell r="G223">
            <v>37463</v>
          </cell>
          <cell r="H223">
            <v>78138</v>
          </cell>
          <cell r="I223">
            <v>40675</v>
          </cell>
          <cell r="J223">
            <v>0</v>
          </cell>
        </row>
        <row r="224">
          <cell r="B224" t="str">
            <v>LT6702</v>
          </cell>
          <cell r="C224" t="str">
            <v>Thî m¸y, ®iÖn, ®iÖn b¸o bËc 2/4, tµu n¹o vÐt s«ng</v>
          </cell>
          <cell r="D224" t="str">
            <v>c«ng</v>
          </cell>
          <cell r="E224">
            <v>0</v>
          </cell>
          <cell r="F224" t="str">
            <v>KHONG</v>
          </cell>
          <cell r="G224">
            <v>42552</v>
          </cell>
          <cell r="H224">
            <v>88751</v>
          </cell>
          <cell r="I224">
            <v>46199</v>
          </cell>
          <cell r="J224">
            <v>0</v>
          </cell>
        </row>
        <row r="225">
          <cell r="B225" t="str">
            <v>LT6703</v>
          </cell>
          <cell r="C225" t="str">
            <v>Thî m¸y, ®iÖn, ®iÖn b¸o bËc 3/4, tµu n¹o vÐt s«ng</v>
          </cell>
          <cell r="D225" t="str">
            <v>c«ng</v>
          </cell>
          <cell r="E225">
            <v>0</v>
          </cell>
          <cell r="F225" t="str">
            <v>KHONG</v>
          </cell>
          <cell r="G225">
            <v>47810</v>
          </cell>
          <cell r="H225">
            <v>99718</v>
          </cell>
          <cell r="I225">
            <v>51908</v>
          </cell>
          <cell r="J225">
            <v>0</v>
          </cell>
        </row>
        <row r="226">
          <cell r="B226" t="str">
            <v>LT6704</v>
          </cell>
          <cell r="C226" t="str">
            <v>Thî m¸y, ®iÖn, ®iÖn b¸o bËc 4/4, tµu n¹o vÐt s«ng</v>
          </cell>
          <cell r="D226" t="str">
            <v>c«ng</v>
          </cell>
          <cell r="E226">
            <v>0</v>
          </cell>
          <cell r="F226" t="str">
            <v>KHONG</v>
          </cell>
          <cell r="G226">
            <v>53407</v>
          </cell>
          <cell r="H226">
            <v>111392</v>
          </cell>
          <cell r="I226">
            <v>57985</v>
          </cell>
          <cell r="J226">
            <v>0</v>
          </cell>
        </row>
        <row r="227">
          <cell r="B227" t="str">
            <v>LT6801</v>
          </cell>
          <cell r="C227" t="str">
            <v>Thñy thñ bËc 1/4, tµu n¹o vÐt s«ng</v>
          </cell>
          <cell r="D227" t="str">
            <v>c«ng</v>
          </cell>
          <cell r="E227">
            <v>0</v>
          </cell>
          <cell r="F227" t="str">
            <v>KHONG</v>
          </cell>
          <cell r="G227">
            <v>35428</v>
          </cell>
          <cell r="H227">
            <v>73893</v>
          </cell>
          <cell r="I227">
            <v>38465</v>
          </cell>
          <cell r="J227">
            <v>0</v>
          </cell>
        </row>
        <row r="228">
          <cell r="B228" t="str">
            <v>LT6802</v>
          </cell>
          <cell r="C228" t="str">
            <v>Thñy thñ bËc 2/4, tµu n¹o vÐt s«ng</v>
          </cell>
          <cell r="D228" t="str">
            <v>c«ng</v>
          </cell>
          <cell r="E228">
            <v>0</v>
          </cell>
          <cell r="F228" t="str">
            <v>KHONG</v>
          </cell>
          <cell r="G228">
            <v>39668</v>
          </cell>
          <cell r="H228">
            <v>82737</v>
          </cell>
          <cell r="I228">
            <v>43069</v>
          </cell>
          <cell r="J228">
            <v>0</v>
          </cell>
        </row>
        <row r="229">
          <cell r="B229" t="str">
            <v>LT6803</v>
          </cell>
          <cell r="C229" t="str">
            <v>Thñy thñ bËc 3/4, tµu n¹o vÐt s«ng</v>
          </cell>
          <cell r="D229" t="str">
            <v>c«ng</v>
          </cell>
          <cell r="E229">
            <v>0</v>
          </cell>
          <cell r="F229" t="str">
            <v>KHONG</v>
          </cell>
          <cell r="G229">
            <v>45266</v>
          </cell>
          <cell r="H229">
            <v>94411</v>
          </cell>
          <cell r="I229">
            <v>49145</v>
          </cell>
          <cell r="J229">
            <v>0</v>
          </cell>
        </row>
        <row r="230">
          <cell r="B230" t="str">
            <v>LT6804</v>
          </cell>
          <cell r="C230" t="str">
            <v>Thñy thñ bËc 4/4, tµu n¹o vÐt s«ng</v>
          </cell>
          <cell r="D230" t="str">
            <v>c«ng</v>
          </cell>
          <cell r="E230">
            <v>0</v>
          </cell>
          <cell r="F230" t="str">
            <v>KHONG</v>
          </cell>
          <cell r="G230">
            <v>50693</v>
          </cell>
          <cell r="H230">
            <v>105732</v>
          </cell>
          <cell r="I230">
            <v>55039</v>
          </cell>
          <cell r="J230">
            <v>0</v>
          </cell>
        </row>
        <row r="231">
          <cell r="B231" t="str">
            <v>LT7101</v>
          </cell>
          <cell r="C231" t="str">
            <v>Thî lÆn 2 bËc (bËc 1/2)</v>
          </cell>
          <cell r="D231" t="str">
            <v>c«ng</v>
          </cell>
          <cell r="E231">
            <v>0</v>
          </cell>
          <cell r="F231" t="str">
            <v>KHONG</v>
          </cell>
          <cell r="G231">
            <v>81903</v>
          </cell>
          <cell r="H231">
            <v>170826</v>
          </cell>
          <cell r="I231">
            <v>88923</v>
          </cell>
          <cell r="J231">
            <v>0</v>
          </cell>
        </row>
        <row r="232">
          <cell r="B232" t="str">
            <v>LT7202</v>
          </cell>
          <cell r="C232" t="str">
            <v>Thî lÆn 4 bËc (bËc 2/4)</v>
          </cell>
          <cell r="D232" t="str">
            <v>c«ng</v>
          </cell>
          <cell r="E232">
            <v>0</v>
          </cell>
          <cell r="F232" t="str">
            <v>KHONG</v>
          </cell>
          <cell r="G232">
            <v>58326</v>
          </cell>
          <cell r="H232">
            <v>121652</v>
          </cell>
          <cell r="I232">
            <v>63326</v>
          </cell>
          <cell r="J232">
            <v>0</v>
          </cell>
        </row>
        <row r="233">
          <cell r="J233">
            <v>9421901.306343</v>
          </cell>
        </row>
      </sheetData>
      <sheetData sheetId="26">
        <row r="6">
          <cell r="B6" t="str">
            <v>Phan Thieát</v>
          </cell>
          <cell r="C6">
            <v>6</v>
          </cell>
          <cell r="I6">
            <v>6</v>
          </cell>
        </row>
        <row r="7">
          <cell r="B7" t="str">
            <v>Haøm Myõ</v>
          </cell>
          <cell r="C7">
            <v>4</v>
          </cell>
          <cell r="I7">
            <v>4</v>
          </cell>
        </row>
        <row r="8">
          <cell r="B8" t="str">
            <v>Taân Laäp</v>
          </cell>
          <cell r="I8">
            <v>0</v>
          </cell>
        </row>
        <row r="9">
          <cell r="B9" t="str">
            <v>Moû ñaù Km27</v>
          </cell>
          <cell r="C9">
            <v>6</v>
          </cell>
          <cell r="D9">
            <v>17</v>
          </cell>
          <cell r="I9">
            <v>23</v>
          </cell>
        </row>
        <row r="10">
          <cell r="B10" t="str">
            <v>Haøm Thaïnh - Ba Baøu</v>
          </cell>
          <cell r="I10">
            <v>0</v>
          </cell>
        </row>
        <row r="11">
          <cell r="B11" t="str">
            <v>Trung taâm huyeän</v>
          </cell>
          <cell r="I11">
            <v>0</v>
          </cell>
        </row>
        <row r="12">
          <cell r="B12" t="str">
            <v>Lagi</v>
          </cell>
          <cell r="I12">
            <v>0</v>
          </cell>
        </row>
        <row r="13">
          <cell r="B13" t="str">
            <v>Haøm Taân</v>
          </cell>
          <cell r="I13">
            <v>0</v>
          </cell>
        </row>
      </sheetData>
      <sheetData sheetId="27">
        <row r="6">
          <cell r="C6" t="str">
            <v>Teân vaät tö </v>
          </cell>
          <cell r="D6" t="str">
            <v>Ñôn
 vò </v>
          </cell>
          <cell r="E6" t="str">
            <v>Nguoàn haøng</v>
          </cell>
          <cell r="F6" t="str">
            <v>Khoái 
löôïng </v>
          </cell>
          <cell r="G6" t="str">
            <v>Tyû troïng </v>
          </cell>
          <cell r="H6" t="str">
            <v>Tyû troïng </v>
          </cell>
          <cell r="I6" t="str">
            <v>Toång KL
 ( taán ) </v>
          </cell>
          <cell r="J6" t="str">
            <v>Ñöôøng loaïi  1</v>
          </cell>
          <cell r="L6" t="str">
            <v>Ñöôøng loaïi  2</v>
          </cell>
          <cell r="N6" t="str">
            <v>Ñöôøng loaïi 3</v>
          </cell>
          <cell r="P6" t="str">
            <v>Ñöôøng loaïi 4</v>
          </cell>
          <cell r="R6" t="str">
            <v>Ñöôøng loaïi 5</v>
          </cell>
          <cell r="T6" t="str">
            <v>Ñöôøng loaïi 6</v>
          </cell>
          <cell r="V6" t="str">
            <v>Heä soá ben</v>
          </cell>
          <cell r="W6" t="str">
            <v>Heä soá 
BH</v>
          </cell>
          <cell r="X6" t="str">
            <v>Ñôn giaù boác xeáp</v>
          </cell>
          <cell r="Y6" t="str">
            <v>Thaønh tieàn 
( tröôùc VAT )</v>
          </cell>
        </row>
        <row r="7">
          <cell r="J7" t="str">
            <v>Soá km</v>
          </cell>
          <cell r="K7" t="str">
            <v>Ñôn giaù</v>
          </cell>
          <cell r="L7" t="str">
            <v>Soá km</v>
          </cell>
          <cell r="M7" t="str">
            <v>Ñôn giaù</v>
          </cell>
          <cell r="N7" t="str">
            <v>Soá km</v>
          </cell>
          <cell r="O7" t="str">
            <v>Ñôn giaù</v>
          </cell>
          <cell r="P7" t="str">
            <v>Soá km</v>
          </cell>
          <cell r="Q7" t="str">
            <v>Ñôn giaù</v>
          </cell>
          <cell r="R7" t="str">
            <v>Soá km</v>
          </cell>
          <cell r="S7" t="str">
            <v>Ñôn giaù</v>
          </cell>
          <cell r="T7" t="str">
            <v>Soá km</v>
          </cell>
          <cell r="U7" t="str">
            <v>Ñôn giaù</v>
          </cell>
          <cell r="Y7" t="str">
            <v>Boác xeáp</v>
          </cell>
          <cell r="Z7" t="str">
            <v>Vaän chuyeån </v>
          </cell>
        </row>
        <row r="8">
          <cell r="C8" t="str">
            <v> HAØNG BAÄC I</v>
          </cell>
        </row>
        <row r="9">
          <cell r="B9" t="str">
            <v>:5817</v>
          </cell>
          <cell r="C9" t="str">
            <v>Ñaù 1x2</v>
          </cell>
          <cell r="D9" t="str">
            <v>m3</v>
          </cell>
          <cell r="E9" t="str">
            <v>Moû ñaù Km27</v>
          </cell>
          <cell r="F9">
            <v>1</v>
          </cell>
          <cell r="G9">
            <v>1.6</v>
          </cell>
          <cell r="H9">
            <v>1.6</v>
          </cell>
          <cell r="I9">
            <v>1.6</v>
          </cell>
          <cell r="J9">
            <v>6</v>
          </cell>
          <cell r="K9">
            <v>997</v>
          </cell>
          <cell r="L9">
            <v>17</v>
          </cell>
          <cell r="M9">
            <v>1187</v>
          </cell>
          <cell r="N9">
            <v>0</v>
          </cell>
          <cell r="O9">
            <v>1745</v>
          </cell>
          <cell r="P9">
            <v>0</v>
          </cell>
          <cell r="Q9">
            <v>2530</v>
          </cell>
          <cell r="R9">
            <v>0</v>
          </cell>
          <cell r="S9">
            <v>3669</v>
          </cell>
          <cell r="T9">
            <v>0</v>
          </cell>
          <cell r="U9">
            <v>4402.8</v>
          </cell>
          <cell r="V9">
            <v>1.15</v>
          </cell>
          <cell r="W9">
            <v>1</v>
          </cell>
          <cell r="Y9">
            <v>0</v>
          </cell>
          <cell r="Z9">
            <v>43760.218181818185</v>
          </cell>
        </row>
        <row r="10">
          <cell r="B10" t="str">
            <v>:5971</v>
          </cell>
          <cell r="C10" t="str">
            <v>Caùt mòn ML=1,5-2,0</v>
          </cell>
          <cell r="D10" t="str">
            <v>m3</v>
          </cell>
          <cell r="E10" t="str">
            <v>Phan Thieát</v>
          </cell>
          <cell r="F10">
            <v>1</v>
          </cell>
          <cell r="G10">
            <v>1.38</v>
          </cell>
          <cell r="H10">
            <v>1.4</v>
          </cell>
          <cell r="I10">
            <v>1.38</v>
          </cell>
          <cell r="J10">
            <v>6</v>
          </cell>
          <cell r="K10">
            <v>2236</v>
          </cell>
          <cell r="M10">
            <v>2661</v>
          </cell>
          <cell r="N10">
            <v>0</v>
          </cell>
          <cell r="O10">
            <v>3900</v>
          </cell>
          <cell r="P10">
            <v>0</v>
          </cell>
          <cell r="Q10">
            <v>5672</v>
          </cell>
          <cell r="R10">
            <v>0</v>
          </cell>
          <cell r="S10">
            <v>7917</v>
          </cell>
          <cell r="T10">
            <v>0</v>
          </cell>
          <cell r="U10">
            <v>9500.4</v>
          </cell>
          <cell r="V10">
            <v>1.15</v>
          </cell>
          <cell r="W10">
            <v>1</v>
          </cell>
          <cell r="Y10">
            <v>0</v>
          </cell>
          <cell r="Z10">
            <v>19355.629090909086</v>
          </cell>
        </row>
        <row r="11">
          <cell r="B11" t="str">
            <v>:5972</v>
          </cell>
          <cell r="C11" t="str">
            <v>C¸t nÒn</v>
          </cell>
          <cell r="D11" t="str">
            <v>m3</v>
          </cell>
          <cell r="E11" t="str">
            <v>Haøm Myõ</v>
          </cell>
          <cell r="F11">
            <v>1</v>
          </cell>
          <cell r="G11">
            <v>1.2</v>
          </cell>
          <cell r="I11">
            <v>1.2</v>
          </cell>
          <cell r="J11">
            <v>4</v>
          </cell>
          <cell r="K11">
            <v>3360</v>
          </cell>
          <cell r="M11">
            <v>3965</v>
          </cell>
          <cell r="N11">
            <v>0</v>
          </cell>
          <cell r="O11">
            <v>5277</v>
          </cell>
          <cell r="P11">
            <v>0</v>
          </cell>
          <cell r="Q11">
            <v>6663</v>
          </cell>
          <cell r="R11">
            <v>0</v>
          </cell>
          <cell r="S11">
            <v>9805</v>
          </cell>
          <cell r="T11">
            <v>0</v>
          </cell>
          <cell r="U11">
            <v>11766</v>
          </cell>
          <cell r="V11">
            <v>1.15</v>
          </cell>
          <cell r="W11">
            <v>1</v>
          </cell>
          <cell r="Y11">
            <v>0</v>
          </cell>
          <cell r="Z11">
            <v>16861.090909090904</v>
          </cell>
        </row>
        <row r="12">
          <cell r="B12" t="str">
            <v>:5976</v>
          </cell>
          <cell r="C12" t="str">
            <v>Caùt vaøng</v>
          </cell>
          <cell r="D12" t="str">
            <v>m3</v>
          </cell>
          <cell r="E12" t="str">
            <v>Phan Thieát</v>
          </cell>
          <cell r="F12">
            <v>1</v>
          </cell>
          <cell r="G12">
            <v>1.45</v>
          </cell>
          <cell r="I12">
            <v>1.45</v>
          </cell>
          <cell r="J12">
            <v>6</v>
          </cell>
          <cell r="K12">
            <v>2236</v>
          </cell>
          <cell r="M12">
            <v>2661</v>
          </cell>
          <cell r="N12">
            <v>0</v>
          </cell>
          <cell r="O12">
            <v>3900</v>
          </cell>
          <cell r="P12">
            <v>0</v>
          </cell>
          <cell r="Q12">
            <v>5672</v>
          </cell>
          <cell r="R12">
            <v>0</v>
          </cell>
          <cell r="S12">
            <v>7917</v>
          </cell>
          <cell r="T12">
            <v>0</v>
          </cell>
          <cell r="U12">
            <v>9500.4</v>
          </cell>
          <cell r="V12">
            <v>1.15</v>
          </cell>
          <cell r="W12">
            <v>1</v>
          </cell>
          <cell r="Y12">
            <v>0</v>
          </cell>
          <cell r="Z12">
            <v>20337.436363636363</v>
          </cell>
        </row>
        <row r="13">
          <cell r="B13" t="str">
            <v>:6207</v>
          </cell>
          <cell r="C13" t="str">
            <v>Gaïch theû 4x8x19</v>
          </cell>
          <cell r="D13" t="str">
            <v>vieân </v>
          </cell>
          <cell r="E13" t="str">
            <v>Phan Thieát</v>
          </cell>
          <cell r="F13">
            <v>1</v>
          </cell>
          <cell r="G13">
            <v>0.001</v>
          </cell>
          <cell r="H13">
            <v>0.0014</v>
          </cell>
          <cell r="I13">
            <v>0.001</v>
          </cell>
          <cell r="J13">
            <v>6</v>
          </cell>
          <cell r="K13">
            <v>2236</v>
          </cell>
          <cell r="M13">
            <v>2661</v>
          </cell>
          <cell r="N13">
            <v>0</v>
          </cell>
          <cell r="O13">
            <v>3900</v>
          </cell>
          <cell r="P13">
            <v>0</v>
          </cell>
          <cell r="Q13">
            <v>5672</v>
          </cell>
          <cell r="R13">
            <v>0</v>
          </cell>
          <cell r="S13">
            <v>7917</v>
          </cell>
          <cell r="T13">
            <v>0</v>
          </cell>
          <cell r="U13">
            <v>9500.4</v>
          </cell>
          <cell r="V13">
            <v>1</v>
          </cell>
          <cell r="W13">
            <v>1</v>
          </cell>
          <cell r="Y13">
            <v>0</v>
          </cell>
          <cell r="Z13">
            <v>12.196363636363635</v>
          </cell>
        </row>
        <row r="14">
          <cell r="B14" t="str">
            <v>:6168</v>
          </cell>
          <cell r="C14" t="str">
            <v>G¹ch èng 8x8x19</v>
          </cell>
          <cell r="D14" t="str">
            <v>viªn</v>
          </cell>
          <cell r="E14" t="str">
            <v>Phan Thieát</v>
          </cell>
          <cell r="F14">
            <v>1</v>
          </cell>
          <cell r="G14">
            <v>0.0012</v>
          </cell>
          <cell r="I14">
            <v>0.0012</v>
          </cell>
          <cell r="J14">
            <v>6</v>
          </cell>
          <cell r="K14">
            <v>2236</v>
          </cell>
          <cell r="M14">
            <v>2661</v>
          </cell>
          <cell r="N14">
            <v>0</v>
          </cell>
          <cell r="O14">
            <v>3900</v>
          </cell>
          <cell r="P14">
            <v>0</v>
          </cell>
          <cell r="Q14">
            <v>5672</v>
          </cell>
          <cell r="R14">
            <v>0</v>
          </cell>
          <cell r="S14">
            <v>7917</v>
          </cell>
          <cell r="T14">
            <v>0</v>
          </cell>
          <cell r="U14">
            <v>9500.4</v>
          </cell>
          <cell r="V14">
            <v>1</v>
          </cell>
          <cell r="W14">
            <v>1</v>
          </cell>
          <cell r="X14">
            <v>20</v>
          </cell>
          <cell r="Y14">
            <v>20</v>
          </cell>
          <cell r="Z14">
            <v>14.635636363636362</v>
          </cell>
        </row>
        <row r="15">
          <cell r="C15" t="str">
            <v> HAØNG BAÄC II</v>
          </cell>
        </row>
        <row r="16">
          <cell r="B16" t="str">
            <v>:5819</v>
          </cell>
          <cell r="C16" t="str">
            <v>§¸ d¨m 4x6</v>
          </cell>
          <cell r="D16" t="str">
            <v>m3</v>
          </cell>
          <cell r="E16" t="str">
            <v>Moû ñaù Km27</v>
          </cell>
          <cell r="F16">
            <v>1</v>
          </cell>
          <cell r="G16">
            <v>1.5</v>
          </cell>
          <cell r="I16">
            <v>1.5</v>
          </cell>
          <cell r="J16">
            <v>6</v>
          </cell>
          <cell r="K16">
            <v>997</v>
          </cell>
          <cell r="L16">
            <v>17</v>
          </cell>
          <cell r="M16">
            <v>1305.7</v>
          </cell>
          <cell r="N16">
            <v>0</v>
          </cell>
          <cell r="O16">
            <v>1745</v>
          </cell>
          <cell r="P16">
            <v>0</v>
          </cell>
          <cell r="Q16">
            <v>2530</v>
          </cell>
          <cell r="R16">
            <v>0</v>
          </cell>
          <cell r="S16">
            <v>4035.9000000000005</v>
          </cell>
          <cell r="T16">
            <v>0</v>
          </cell>
          <cell r="U16">
            <v>4402.8</v>
          </cell>
          <cell r="V16">
            <v>1</v>
          </cell>
          <cell r="W16">
            <v>1.1</v>
          </cell>
          <cell r="Y16">
            <v>0</v>
          </cell>
          <cell r="Z16">
            <v>42268.350000000006</v>
          </cell>
        </row>
        <row r="17">
          <cell r="B17" t="str">
            <v>:5831</v>
          </cell>
          <cell r="C17" t="str">
            <v>§¸ chÎ 15x20x25</v>
          </cell>
          <cell r="D17" t="str">
            <v>viªn</v>
          </cell>
          <cell r="E17" t="str">
            <v>Phan Thieát</v>
          </cell>
          <cell r="F17">
            <v>1</v>
          </cell>
          <cell r="G17">
            <v>0.0016</v>
          </cell>
          <cell r="I17">
            <v>0.0016</v>
          </cell>
          <cell r="J17">
            <v>6</v>
          </cell>
          <cell r="K17">
            <v>2236</v>
          </cell>
          <cell r="M17">
            <v>2927.1000000000004</v>
          </cell>
          <cell r="N17">
            <v>0</v>
          </cell>
          <cell r="O17">
            <v>3900</v>
          </cell>
          <cell r="P17">
            <v>0</v>
          </cell>
          <cell r="Q17">
            <v>5672</v>
          </cell>
          <cell r="R17">
            <v>0</v>
          </cell>
          <cell r="S17">
            <v>8708.7</v>
          </cell>
          <cell r="T17">
            <v>0</v>
          </cell>
          <cell r="U17">
            <v>9500.4</v>
          </cell>
          <cell r="V17">
            <v>1</v>
          </cell>
          <cell r="W17">
            <v>1.1</v>
          </cell>
          <cell r="Y17">
            <v>0</v>
          </cell>
          <cell r="Z17">
            <v>21.465600000000002</v>
          </cell>
        </row>
        <row r="18">
          <cell r="B18" t="str">
            <v>:A24.G</v>
          </cell>
          <cell r="C18" t="str">
            <v>Gaïch oáp, laùt caùc loaïi</v>
          </cell>
          <cell r="D18" t="str">
            <v>m2</v>
          </cell>
          <cell r="E18" t="str">
            <v>Phan Thieát</v>
          </cell>
          <cell r="F18">
            <v>1</v>
          </cell>
          <cell r="G18">
            <v>0.044</v>
          </cell>
          <cell r="I18">
            <v>0.044</v>
          </cell>
          <cell r="J18">
            <v>6</v>
          </cell>
          <cell r="K18">
            <v>2236</v>
          </cell>
          <cell r="M18">
            <v>2927.1000000000004</v>
          </cell>
          <cell r="N18">
            <v>0</v>
          </cell>
          <cell r="O18">
            <v>3900</v>
          </cell>
          <cell r="P18">
            <v>0</v>
          </cell>
          <cell r="Q18">
            <v>5672</v>
          </cell>
          <cell r="R18">
            <v>0</v>
          </cell>
          <cell r="S18">
            <v>8708.7</v>
          </cell>
          <cell r="T18">
            <v>0</v>
          </cell>
          <cell r="U18">
            <v>9500.4</v>
          </cell>
          <cell r="V18">
            <v>1</v>
          </cell>
          <cell r="W18">
            <v>1.1</v>
          </cell>
          <cell r="Y18">
            <v>0</v>
          </cell>
          <cell r="Z18">
            <v>590.304</v>
          </cell>
        </row>
        <row r="19">
          <cell r="B19" t="str">
            <v>:A24.04</v>
          </cell>
          <cell r="C19" t="str">
            <v>Goã caùc loaïi </v>
          </cell>
          <cell r="D19" t="str">
            <v>m3</v>
          </cell>
          <cell r="E19" t="str">
            <v>Phan Thieát</v>
          </cell>
          <cell r="F19">
            <v>1</v>
          </cell>
          <cell r="G19">
            <v>0.7</v>
          </cell>
          <cell r="H19">
            <v>0.7</v>
          </cell>
          <cell r="I19">
            <v>0.7</v>
          </cell>
          <cell r="J19">
            <v>6</v>
          </cell>
          <cell r="K19">
            <v>2236</v>
          </cell>
          <cell r="M19">
            <v>2927.1000000000004</v>
          </cell>
          <cell r="N19">
            <v>0</v>
          </cell>
          <cell r="O19">
            <v>3900</v>
          </cell>
          <cell r="P19">
            <v>0</v>
          </cell>
          <cell r="Q19">
            <v>5672</v>
          </cell>
          <cell r="R19">
            <v>0</v>
          </cell>
          <cell r="S19">
            <v>8708.7</v>
          </cell>
          <cell r="T19">
            <v>0</v>
          </cell>
          <cell r="U19">
            <v>9500.4</v>
          </cell>
          <cell r="V19">
            <v>1</v>
          </cell>
          <cell r="W19">
            <v>1.1</v>
          </cell>
          <cell r="X19">
            <v>20000</v>
          </cell>
          <cell r="Y19">
            <v>20000</v>
          </cell>
          <cell r="Z19">
            <v>9391.199999999999</v>
          </cell>
        </row>
        <row r="20">
          <cell r="B20" t="str">
            <v>:A24.C</v>
          </cell>
          <cell r="C20" t="str">
            <v>Cöûa caùc loaïi</v>
          </cell>
          <cell r="D20" t="str">
            <v>m3</v>
          </cell>
          <cell r="E20" t="str">
            <v>Phan Thieát</v>
          </cell>
          <cell r="F20">
            <v>1</v>
          </cell>
          <cell r="G20">
            <v>0.025</v>
          </cell>
          <cell r="I20">
            <v>0.025</v>
          </cell>
          <cell r="J20">
            <v>6</v>
          </cell>
          <cell r="K20">
            <v>2236</v>
          </cell>
          <cell r="M20">
            <v>2927.1000000000004</v>
          </cell>
          <cell r="N20">
            <v>0</v>
          </cell>
          <cell r="O20">
            <v>3900</v>
          </cell>
          <cell r="P20">
            <v>0</v>
          </cell>
          <cell r="Q20">
            <v>5672</v>
          </cell>
          <cell r="R20">
            <v>0</v>
          </cell>
          <cell r="S20">
            <v>8708.7</v>
          </cell>
          <cell r="T20">
            <v>0</v>
          </cell>
          <cell r="U20">
            <v>9500.4</v>
          </cell>
          <cell r="V20">
            <v>1</v>
          </cell>
          <cell r="W20">
            <v>1.1</v>
          </cell>
          <cell r="Y20">
            <v>0</v>
          </cell>
          <cell r="Z20">
            <v>335.40000000000003</v>
          </cell>
        </row>
        <row r="21">
          <cell r="B21" t="str">
            <v>:A24.05</v>
          </cell>
          <cell r="C21" t="str">
            <v>Ngoùi caùc loaïi</v>
          </cell>
          <cell r="D21" t="str">
            <v>vieân </v>
          </cell>
          <cell r="E21" t="str">
            <v>Phan Thieát</v>
          </cell>
          <cell r="F21">
            <v>1</v>
          </cell>
          <cell r="G21">
            <v>0.0021</v>
          </cell>
          <cell r="I21">
            <v>0.0021</v>
          </cell>
          <cell r="J21">
            <v>6</v>
          </cell>
          <cell r="K21">
            <v>2236</v>
          </cell>
          <cell r="M21">
            <v>2927.1000000000004</v>
          </cell>
          <cell r="N21">
            <v>0</v>
          </cell>
          <cell r="O21">
            <v>3900</v>
          </cell>
          <cell r="P21">
            <v>0</v>
          </cell>
          <cell r="Q21">
            <v>5672</v>
          </cell>
          <cell r="R21">
            <v>0</v>
          </cell>
          <cell r="S21">
            <v>8708.7</v>
          </cell>
          <cell r="T21">
            <v>0</v>
          </cell>
          <cell r="U21">
            <v>9500.4</v>
          </cell>
          <cell r="V21">
            <v>1</v>
          </cell>
          <cell r="W21">
            <v>1.1</v>
          </cell>
          <cell r="Y21">
            <v>0</v>
          </cell>
          <cell r="Z21">
            <v>28.173599999999997</v>
          </cell>
        </row>
        <row r="22">
          <cell r="B22" t="str">
            <v>:A24.06</v>
          </cell>
          <cell r="C22" t="str">
            <v>Toân caùc loaïi</v>
          </cell>
          <cell r="D22" t="str">
            <v>m2</v>
          </cell>
          <cell r="E22" t="str">
            <v>Phan Thieát</v>
          </cell>
          <cell r="F22">
            <v>1</v>
          </cell>
          <cell r="G22">
            <v>0.008</v>
          </cell>
          <cell r="I22">
            <v>0.008</v>
          </cell>
          <cell r="J22">
            <v>6</v>
          </cell>
          <cell r="K22">
            <v>2236</v>
          </cell>
          <cell r="M22">
            <v>2927.1000000000004</v>
          </cell>
          <cell r="N22">
            <v>0</v>
          </cell>
          <cell r="O22">
            <v>3900</v>
          </cell>
          <cell r="P22">
            <v>0</v>
          </cell>
          <cell r="Q22">
            <v>5672</v>
          </cell>
          <cell r="R22">
            <v>0</v>
          </cell>
          <cell r="S22">
            <v>8708.7</v>
          </cell>
          <cell r="T22">
            <v>0</v>
          </cell>
          <cell r="U22">
            <v>9500.4</v>
          </cell>
          <cell r="V22">
            <v>1</v>
          </cell>
          <cell r="W22">
            <v>1.1</v>
          </cell>
          <cell r="Y22">
            <v>0</v>
          </cell>
          <cell r="Z22">
            <v>107.328</v>
          </cell>
        </row>
        <row r="23">
          <cell r="B23" t="str">
            <v>:A24.07</v>
          </cell>
          <cell r="C23" t="str">
            <v>Saét theùp </v>
          </cell>
          <cell r="D23" t="str">
            <v>kg</v>
          </cell>
          <cell r="E23" t="str">
            <v>Phan Thieát</v>
          </cell>
          <cell r="F23">
            <v>1</v>
          </cell>
          <cell r="G23">
            <v>0.001</v>
          </cell>
          <cell r="H23">
            <v>0.001</v>
          </cell>
          <cell r="I23">
            <v>0.001</v>
          </cell>
          <cell r="J23">
            <v>6</v>
          </cell>
          <cell r="K23">
            <v>2236</v>
          </cell>
          <cell r="M23">
            <v>2927.1000000000004</v>
          </cell>
          <cell r="N23">
            <v>0</v>
          </cell>
          <cell r="O23">
            <v>3900</v>
          </cell>
          <cell r="P23">
            <v>0</v>
          </cell>
          <cell r="Q23">
            <v>5672</v>
          </cell>
          <cell r="R23">
            <v>0</v>
          </cell>
          <cell r="S23">
            <v>8708.7</v>
          </cell>
          <cell r="T23">
            <v>0</v>
          </cell>
          <cell r="U23">
            <v>9500.4</v>
          </cell>
          <cell r="V23">
            <v>1</v>
          </cell>
          <cell r="W23">
            <v>1.1</v>
          </cell>
          <cell r="X23">
            <v>20</v>
          </cell>
          <cell r="Y23">
            <v>20</v>
          </cell>
          <cell r="Z23">
            <v>13.416</v>
          </cell>
        </row>
        <row r="24">
          <cell r="C24" t="str">
            <v> HAØNG BAÄC III</v>
          </cell>
        </row>
        <row r="25">
          <cell r="C25" t="str">
            <v>Xi maêng, voâi cuïc &amp; sôn </v>
          </cell>
          <cell r="D25" t="str">
            <v>kg</v>
          </cell>
          <cell r="E25" t="str">
            <v>Phan Thieát</v>
          </cell>
          <cell r="F25">
            <v>1</v>
          </cell>
          <cell r="G25">
            <v>0.001</v>
          </cell>
          <cell r="H25">
            <v>0.001</v>
          </cell>
          <cell r="I25">
            <v>0.001</v>
          </cell>
          <cell r="J25">
            <v>6</v>
          </cell>
          <cell r="K25">
            <v>2236</v>
          </cell>
          <cell r="M25">
            <v>3725.3999999999996</v>
          </cell>
          <cell r="N25">
            <v>0</v>
          </cell>
          <cell r="O25">
            <v>3900</v>
          </cell>
          <cell r="P25">
            <v>0</v>
          </cell>
          <cell r="Q25">
            <v>5672</v>
          </cell>
          <cell r="R25">
            <v>0</v>
          </cell>
          <cell r="S25">
            <v>7917</v>
          </cell>
          <cell r="T25">
            <v>0</v>
          </cell>
          <cell r="U25">
            <v>9500.4</v>
          </cell>
          <cell r="V25">
            <v>1</v>
          </cell>
          <cell r="W25">
            <v>1.3</v>
          </cell>
          <cell r="X25">
            <v>20</v>
          </cell>
          <cell r="Y25">
            <v>20</v>
          </cell>
          <cell r="Z25">
            <v>15.855272727272725</v>
          </cell>
        </row>
        <row r="26">
          <cell r="C26" t="str">
            <v>Vaät lieäu khaùc </v>
          </cell>
          <cell r="D26" t="str">
            <v>kg</v>
          </cell>
          <cell r="E26" t="str">
            <v>Phan Thieát</v>
          </cell>
          <cell r="F26">
            <v>1</v>
          </cell>
          <cell r="G26">
            <v>1</v>
          </cell>
          <cell r="H26">
            <v>1</v>
          </cell>
          <cell r="I26">
            <v>1</v>
          </cell>
          <cell r="J26">
            <v>6</v>
          </cell>
          <cell r="K26">
            <v>2236</v>
          </cell>
          <cell r="M26">
            <v>3725.3999999999996</v>
          </cell>
          <cell r="N26">
            <v>0</v>
          </cell>
          <cell r="O26">
            <v>3900</v>
          </cell>
          <cell r="P26">
            <v>0</v>
          </cell>
          <cell r="Q26">
            <v>5672</v>
          </cell>
          <cell r="R26">
            <v>0</v>
          </cell>
          <cell r="S26">
            <v>7917</v>
          </cell>
          <cell r="T26">
            <v>0</v>
          </cell>
          <cell r="U26">
            <v>9500.4</v>
          </cell>
          <cell r="V26">
            <v>1</v>
          </cell>
          <cell r="W26">
            <v>1.3</v>
          </cell>
          <cell r="X26">
            <v>20</v>
          </cell>
          <cell r="Y26">
            <v>20</v>
          </cell>
          <cell r="Z26">
            <v>15855.272727272726</v>
          </cell>
        </row>
      </sheetData>
      <sheetData sheetId="29">
        <row r="2">
          <cell r="B2" t="str">
            <v>BAÛNG GIAÙ CÖÔÙC VAÄN CHUYEÃN </v>
          </cell>
        </row>
        <row r="3">
          <cell r="B3" t="str">
            <v>Theo QÑ 29/2006 - Giaù cöôùc vaän chuyeãn taïi Bình Thuaän</v>
          </cell>
        </row>
        <row r="4">
          <cell r="B4" t="str">
            <v>Cự ly (Km)</v>
          </cell>
          <cell r="C4" t="str">
            <v>Đường</v>
          </cell>
          <cell r="D4" t="str">
            <v>Đường</v>
          </cell>
          <cell r="E4" t="str">
            <v>Đường loại 3</v>
          </cell>
          <cell r="F4" t="str">
            <v>Đường loại 4</v>
          </cell>
          <cell r="G4" t="str">
            <v>Đường</v>
          </cell>
          <cell r="H4" t="str">
            <v>Đường</v>
          </cell>
        </row>
        <row r="5">
          <cell r="C5" t="str">
            <v>loại  1</v>
          </cell>
          <cell r="D5" t="str">
            <v>loại 2</v>
          </cell>
          <cell r="G5" t="str">
            <v>loại 5</v>
          </cell>
          <cell r="H5" t="str">
            <v>loại 6</v>
          </cell>
        </row>
        <row r="6">
          <cell r="B6">
            <v>0</v>
          </cell>
          <cell r="C6">
            <v>0</v>
          </cell>
          <cell r="D6">
            <v>0</v>
          </cell>
          <cell r="E6">
            <v>0</v>
          </cell>
          <cell r="F6">
            <v>0</v>
          </cell>
          <cell r="G6">
            <v>0</v>
          </cell>
          <cell r="H6">
            <v>0</v>
          </cell>
        </row>
        <row r="7">
          <cell r="B7">
            <v>1</v>
          </cell>
          <cell r="C7">
            <v>8776</v>
          </cell>
          <cell r="D7">
            <v>9653</v>
          </cell>
          <cell r="E7">
            <v>10778</v>
          </cell>
          <cell r="F7">
            <v>12880</v>
          </cell>
          <cell r="G7">
            <v>15837</v>
          </cell>
          <cell r="H7">
            <v>19004.399999999998</v>
          </cell>
        </row>
        <row r="8">
          <cell r="B8">
            <v>2</v>
          </cell>
          <cell r="C8">
            <v>6120</v>
          </cell>
          <cell r="D8">
            <v>7101</v>
          </cell>
          <cell r="E8">
            <v>8285</v>
          </cell>
          <cell r="F8">
            <v>10082</v>
          </cell>
          <cell r="G8">
            <v>13100</v>
          </cell>
          <cell r="H8">
            <v>15720</v>
          </cell>
        </row>
        <row r="9">
          <cell r="B9">
            <v>3</v>
          </cell>
          <cell r="C9">
            <v>4224</v>
          </cell>
          <cell r="D9">
            <v>5363</v>
          </cell>
          <cell r="E9">
            <v>6609</v>
          </cell>
          <cell r="F9">
            <v>8176</v>
          </cell>
          <cell r="G9">
            <v>11255</v>
          </cell>
          <cell r="H9">
            <v>13506</v>
          </cell>
        </row>
        <row r="10">
          <cell r="B10">
            <v>4</v>
          </cell>
          <cell r="C10">
            <v>3360</v>
          </cell>
          <cell r="D10">
            <v>3965</v>
          </cell>
          <cell r="E10">
            <v>5277</v>
          </cell>
          <cell r="F10">
            <v>6663</v>
          </cell>
          <cell r="G10">
            <v>9805</v>
          </cell>
          <cell r="H10">
            <v>11766</v>
          </cell>
        </row>
        <row r="11">
          <cell r="B11">
            <v>5</v>
          </cell>
          <cell r="C11">
            <v>2470</v>
          </cell>
          <cell r="D11">
            <v>2939</v>
          </cell>
          <cell r="E11">
            <v>4320</v>
          </cell>
          <cell r="F11">
            <v>5564</v>
          </cell>
          <cell r="G11">
            <v>8770</v>
          </cell>
          <cell r="H11">
            <v>10524</v>
          </cell>
        </row>
        <row r="12">
          <cell r="B12">
            <v>6</v>
          </cell>
          <cell r="C12">
            <v>2236</v>
          </cell>
          <cell r="D12">
            <v>2661</v>
          </cell>
          <cell r="E12">
            <v>3900</v>
          </cell>
          <cell r="F12">
            <v>5672</v>
          </cell>
          <cell r="G12">
            <v>7917</v>
          </cell>
          <cell r="H12">
            <v>9500.4</v>
          </cell>
        </row>
        <row r="13">
          <cell r="B13">
            <v>7</v>
          </cell>
          <cell r="C13">
            <v>1993</v>
          </cell>
          <cell r="D13">
            <v>2371</v>
          </cell>
          <cell r="E13">
            <v>3485</v>
          </cell>
          <cell r="F13">
            <v>5053</v>
          </cell>
          <cell r="G13">
            <v>7074</v>
          </cell>
          <cell r="H13">
            <v>8488.8</v>
          </cell>
        </row>
        <row r="14">
          <cell r="B14">
            <v>8</v>
          </cell>
          <cell r="C14">
            <v>1862</v>
          </cell>
          <cell r="D14">
            <v>2215</v>
          </cell>
          <cell r="E14">
            <v>3257</v>
          </cell>
          <cell r="F14">
            <v>4722</v>
          </cell>
          <cell r="G14">
            <v>6612</v>
          </cell>
          <cell r="H14">
            <v>7934.4</v>
          </cell>
        </row>
        <row r="15">
          <cell r="B15">
            <v>9</v>
          </cell>
          <cell r="C15">
            <v>1754</v>
          </cell>
          <cell r="D15">
            <v>2087</v>
          </cell>
          <cell r="E15">
            <v>3067</v>
          </cell>
          <cell r="F15">
            <v>4446</v>
          </cell>
          <cell r="G15">
            <v>6226</v>
          </cell>
          <cell r="H15">
            <v>7471.2</v>
          </cell>
        </row>
        <row r="16">
          <cell r="B16">
            <v>10</v>
          </cell>
          <cell r="C16">
            <v>1664</v>
          </cell>
          <cell r="D16">
            <v>1980</v>
          </cell>
          <cell r="E16">
            <v>2910</v>
          </cell>
          <cell r="F16">
            <v>4220</v>
          </cell>
          <cell r="G16">
            <v>5908</v>
          </cell>
          <cell r="H16">
            <v>7089.599999999999</v>
          </cell>
        </row>
        <row r="17">
          <cell r="B17">
            <v>11</v>
          </cell>
          <cell r="C17">
            <v>1589</v>
          </cell>
          <cell r="D17">
            <v>1890</v>
          </cell>
          <cell r="E17">
            <v>2778</v>
          </cell>
          <cell r="F17">
            <v>4027</v>
          </cell>
          <cell r="G17">
            <v>5840</v>
          </cell>
          <cell r="H17">
            <v>7008</v>
          </cell>
        </row>
        <row r="18">
          <cell r="B18">
            <v>12</v>
          </cell>
          <cell r="C18">
            <v>1518</v>
          </cell>
          <cell r="D18">
            <v>1807</v>
          </cell>
          <cell r="E18">
            <v>2656</v>
          </cell>
          <cell r="F18">
            <v>3851</v>
          </cell>
          <cell r="G18">
            <v>5584</v>
          </cell>
          <cell r="H18">
            <v>6700.8</v>
          </cell>
        </row>
        <row r="19">
          <cell r="B19">
            <v>13</v>
          </cell>
          <cell r="C19">
            <v>1447</v>
          </cell>
          <cell r="D19">
            <v>1721</v>
          </cell>
          <cell r="E19">
            <v>2530</v>
          </cell>
          <cell r="F19">
            <v>3669</v>
          </cell>
          <cell r="G19">
            <v>5320</v>
          </cell>
          <cell r="H19">
            <v>6384</v>
          </cell>
        </row>
        <row r="20">
          <cell r="B20">
            <v>14</v>
          </cell>
          <cell r="C20">
            <v>1382</v>
          </cell>
          <cell r="D20">
            <v>1645</v>
          </cell>
          <cell r="E20">
            <v>2418</v>
          </cell>
          <cell r="F20">
            <v>3506</v>
          </cell>
          <cell r="G20">
            <v>5083</v>
          </cell>
          <cell r="H20">
            <v>6099.599999999999</v>
          </cell>
        </row>
        <row r="21">
          <cell r="B21">
            <v>15</v>
          </cell>
          <cell r="C21">
            <v>1320</v>
          </cell>
          <cell r="D21">
            <v>1570</v>
          </cell>
          <cell r="E21">
            <v>2309</v>
          </cell>
          <cell r="F21">
            <v>3348</v>
          </cell>
          <cell r="G21">
            <v>4854</v>
          </cell>
          <cell r="H21">
            <v>5824.8</v>
          </cell>
        </row>
        <row r="22">
          <cell r="B22">
            <v>16</v>
          </cell>
          <cell r="C22">
            <v>1265</v>
          </cell>
          <cell r="D22">
            <v>1505</v>
          </cell>
          <cell r="E22">
            <v>2213</v>
          </cell>
          <cell r="F22">
            <v>3208</v>
          </cell>
          <cell r="G22">
            <v>4653</v>
          </cell>
          <cell r="H22">
            <v>5583.599999999999</v>
          </cell>
        </row>
        <row r="23">
          <cell r="B23">
            <v>17</v>
          </cell>
          <cell r="C23">
            <v>1226</v>
          </cell>
          <cell r="D23">
            <v>1459</v>
          </cell>
          <cell r="E23">
            <v>2144</v>
          </cell>
          <cell r="F23">
            <v>3108</v>
          </cell>
          <cell r="G23">
            <v>4507</v>
          </cell>
          <cell r="H23">
            <v>5408.4</v>
          </cell>
        </row>
        <row r="24">
          <cell r="B24">
            <v>18</v>
          </cell>
          <cell r="C24">
            <v>1195</v>
          </cell>
          <cell r="D24">
            <v>1422</v>
          </cell>
          <cell r="E24">
            <v>2090</v>
          </cell>
          <cell r="F24">
            <v>3032</v>
          </cell>
          <cell r="G24">
            <v>4395</v>
          </cell>
          <cell r="H24">
            <v>5274</v>
          </cell>
        </row>
        <row r="25">
          <cell r="B25">
            <v>19</v>
          </cell>
          <cell r="C25">
            <v>1160</v>
          </cell>
          <cell r="D25">
            <v>1379</v>
          </cell>
          <cell r="E25">
            <v>2028</v>
          </cell>
          <cell r="F25">
            <v>2941</v>
          </cell>
          <cell r="G25">
            <v>4264</v>
          </cell>
          <cell r="H25">
            <v>5116.8</v>
          </cell>
        </row>
        <row r="26">
          <cell r="B26">
            <v>20</v>
          </cell>
          <cell r="C26">
            <v>1122</v>
          </cell>
          <cell r="D26">
            <v>1335</v>
          </cell>
          <cell r="E26">
            <v>1963</v>
          </cell>
          <cell r="F26">
            <v>2846</v>
          </cell>
          <cell r="G26">
            <v>4126</v>
          </cell>
          <cell r="H26">
            <v>4951.2</v>
          </cell>
        </row>
        <row r="27">
          <cell r="B27">
            <v>21</v>
          </cell>
          <cell r="C27">
            <v>1076</v>
          </cell>
          <cell r="D27">
            <v>1281</v>
          </cell>
          <cell r="E27">
            <v>1882</v>
          </cell>
          <cell r="F27">
            <v>2730</v>
          </cell>
          <cell r="G27">
            <v>3959</v>
          </cell>
          <cell r="H27">
            <v>4750.8</v>
          </cell>
        </row>
        <row r="28">
          <cell r="B28">
            <v>22</v>
          </cell>
          <cell r="C28">
            <v>1035</v>
          </cell>
          <cell r="D28">
            <v>1231</v>
          </cell>
          <cell r="E28">
            <v>1810</v>
          </cell>
          <cell r="F28">
            <v>2623</v>
          </cell>
          <cell r="G28">
            <v>3804</v>
          </cell>
          <cell r="H28">
            <v>4564.8</v>
          </cell>
        </row>
        <row r="29">
          <cell r="B29">
            <v>23</v>
          </cell>
          <cell r="C29">
            <v>997</v>
          </cell>
          <cell r="D29">
            <v>1187</v>
          </cell>
          <cell r="E29">
            <v>1745</v>
          </cell>
          <cell r="F29">
            <v>2530</v>
          </cell>
          <cell r="G29">
            <v>3669</v>
          </cell>
          <cell r="H29">
            <v>4402.8</v>
          </cell>
        </row>
        <row r="30">
          <cell r="B30">
            <v>24</v>
          </cell>
          <cell r="C30">
            <v>965</v>
          </cell>
          <cell r="D30">
            <v>1148</v>
          </cell>
          <cell r="E30">
            <v>1687</v>
          </cell>
          <cell r="F30">
            <v>2447</v>
          </cell>
          <cell r="G30">
            <v>3548</v>
          </cell>
          <cell r="H30">
            <v>4257.599999999999</v>
          </cell>
        </row>
        <row r="31">
          <cell r="B31">
            <v>25</v>
          </cell>
          <cell r="C31">
            <v>933</v>
          </cell>
          <cell r="D31">
            <v>1110</v>
          </cell>
          <cell r="E31">
            <v>1632</v>
          </cell>
          <cell r="F31">
            <v>2366</v>
          </cell>
          <cell r="G31">
            <v>3431</v>
          </cell>
          <cell r="H31">
            <v>4117.2</v>
          </cell>
        </row>
        <row r="32">
          <cell r="B32">
            <v>26</v>
          </cell>
          <cell r="C32">
            <v>904</v>
          </cell>
          <cell r="D32">
            <v>1075</v>
          </cell>
          <cell r="E32">
            <v>1581</v>
          </cell>
          <cell r="F32">
            <v>2292</v>
          </cell>
          <cell r="G32">
            <v>3323</v>
          </cell>
          <cell r="H32">
            <v>3987.6</v>
          </cell>
        </row>
        <row r="33">
          <cell r="B33">
            <v>27</v>
          </cell>
          <cell r="C33">
            <v>874</v>
          </cell>
          <cell r="D33">
            <v>1040</v>
          </cell>
          <cell r="E33">
            <v>1529</v>
          </cell>
          <cell r="F33">
            <v>2217</v>
          </cell>
          <cell r="G33">
            <v>3214</v>
          </cell>
          <cell r="H33">
            <v>3856.7999999999997</v>
          </cell>
        </row>
        <row r="34">
          <cell r="B34">
            <v>28</v>
          </cell>
          <cell r="C34">
            <v>844</v>
          </cell>
          <cell r="D34">
            <v>1004</v>
          </cell>
          <cell r="E34">
            <v>1476</v>
          </cell>
          <cell r="F34" t="str">
            <v>21f40</v>
          </cell>
          <cell r="G34">
            <v>3103</v>
          </cell>
          <cell r="H34">
            <v>3723.6</v>
          </cell>
        </row>
        <row r="35">
          <cell r="B35">
            <v>29</v>
          </cell>
          <cell r="C35">
            <v>815</v>
          </cell>
          <cell r="D35">
            <v>970</v>
          </cell>
          <cell r="E35">
            <v>1426</v>
          </cell>
          <cell r="F35">
            <v>2067</v>
          </cell>
          <cell r="G35">
            <v>2997</v>
          </cell>
          <cell r="H35">
            <v>3596.4</v>
          </cell>
        </row>
        <row r="36">
          <cell r="B36">
            <v>30</v>
          </cell>
          <cell r="C36">
            <v>789</v>
          </cell>
          <cell r="D36">
            <v>939</v>
          </cell>
          <cell r="E36">
            <v>1379</v>
          </cell>
          <cell r="F36">
            <v>1999</v>
          </cell>
          <cell r="G36">
            <v>2899</v>
          </cell>
          <cell r="H36">
            <v>3478.7999999999997</v>
          </cell>
        </row>
        <row r="37">
          <cell r="B37">
            <v>31</v>
          </cell>
          <cell r="C37">
            <v>766</v>
          </cell>
          <cell r="D37">
            <v>910</v>
          </cell>
          <cell r="E37">
            <v>1338</v>
          </cell>
          <cell r="F37">
            <v>1940</v>
          </cell>
          <cell r="G37">
            <v>2812</v>
          </cell>
          <cell r="H37">
            <v>3374.4</v>
          </cell>
        </row>
        <row r="38">
          <cell r="B38">
            <v>32</v>
          </cell>
          <cell r="C38">
            <v>766</v>
          </cell>
          <cell r="D38">
            <v>910</v>
          </cell>
          <cell r="E38">
            <v>1338</v>
          </cell>
          <cell r="F38">
            <v>1940</v>
          </cell>
          <cell r="G38">
            <v>2812</v>
          </cell>
          <cell r="H38">
            <v>3374.4</v>
          </cell>
        </row>
        <row r="39">
          <cell r="B39">
            <v>33</v>
          </cell>
          <cell r="C39">
            <v>766</v>
          </cell>
          <cell r="D39">
            <v>910</v>
          </cell>
          <cell r="E39">
            <v>1338</v>
          </cell>
          <cell r="F39">
            <v>1940</v>
          </cell>
          <cell r="G39">
            <v>2812</v>
          </cell>
          <cell r="H39">
            <v>3374.4</v>
          </cell>
        </row>
        <row r="40">
          <cell r="B40">
            <v>34</v>
          </cell>
          <cell r="C40">
            <v>766</v>
          </cell>
          <cell r="D40">
            <v>910</v>
          </cell>
          <cell r="E40">
            <v>1338</v>
          </cell>
          <cell r="F40">
            <v>1940</v>
          </cell>
          <cell r="G40">
            <v>2812</v>
          </cell>
          <cell r="H40">
            <v>3374.4</v>
          </cell>
        </row>
        <row r="41">
          <cell r="B41">
            <v>35</v>
          </cell>
          <cell r="C41">
            <v>766</v>
          </cell>
          <cell r="D41">
            <v>910</v>
          </cell>
          <cell r="E41">
            <v>1338</v>
          </cell>
          <cell r="F41">
            <v>1940</v>
          </cell>
          <cell r="G41">
            <v>2812</v>
          </cell>
          <cell r="H41">
            <v>3374.4</v>
          </cell>
        </row>
        <row r="42">
          <cell r="B42">
            <v>36</v>
          </cell>
          <cell r="C42">
            <v>745</v>
          </cell>
          <cell r="D42">
            <v>745</v>
          </cell>
          <cell r="E42">
            <v>1303</v>
          </cell>
          <cell r="F42">
            <v>1889</v>
          </cell>
          <cell r="G42">
            <v>2738</v>
          </cell>
          <cell r="H42">
            <v>3285.6</v>
          </cell>
        </row>
        <row r="43">
          <cell r="B43">
            <v>37</v>
          </cell>
          <cell r="C43">
            <v>745</v>
          </cell>
          <cell r="D43">
            <v>745</v>
          </cell>
          <cell r="E43">
            <v>1303</v>
          </cell>
          <cell r="F43">
            <v>1889</v>
          </cell>
          <cell r="G43">
            <v>2738</v>
          </cell>
          <cell r="H43">
            <v>3285.6</v>
          </cell>
        </row>
        <row r="44">
          <cell r="B44">
            <v>38</v>
          </cell>
          <cell r="C44">
            <v>745</v>
          </cell>
          <cell r="D44">
            <v>745</v>
          </cell>
          <cell r="E44">
            <v>1303</v>
          </cell>
          <cell r="F44">
            <v>1889</v>
          </cell>
          <cell r="G44">
            <v>2738</v>
          </cell>
          <cell r="H44">
            <v>3285.6</v>
          </cell>
        </row>
        <row r="45">
          <cell r="B45">
            <v>39</v>
          </cell>
          <cell r="C45">
            <v>745</v>
          </cell>
          <cell r="D45">
            <v>745</v>
          </cell>
          <cell r="E45">
            <v>1303</v>
          </cell>
          <cell r="F45">
            <v>1889</v>
          </cell>
          <cell r="G45">
            <v>2738</v>
          </cell>
          <cell r="H45">
            <v>3285.6</v>
          </cell>
        </row>
        <row r="46">
          <cell r="B46">
            <v>40</v>
          </cell>
          <cell r="C46">
            <v>745</v>
          </cell>
          <cell r="D46">
            <v>745</v>
          </cell>
          <cell r="E46">
            <v>1303</v>
          </cell>
          <cell r="F46">
            <v>1889</v>
          </cell>
          <cell r="G46">
            <v>2738</v>
          </cell>
          <cell r="H46">
            <v>3285.6</v>
          </cell>
        </row>
        <row r="47">
          <cell r="B47">
            <v>41</v>
          </cell>
          <cell r="C47">
            <v>728</v>
          </cell>
          <cell r="D47">
            <v>666</v>
          </cell>
          <cell r="E47">
            <v>1273</v>
          </cell>
          <cell r="F47">
            <v>1846</v>
          </cell>
          <cell r="G47">
            <v>2677</v>
          </cell>
          <cell r="H47">
            <v>3212.4</v>
          </cell>
        </row>
        <row r="48">
          <cell r="B48">
            <v>42</v>
          </cell>
          <cell r="C48">
            <v>728</v>
          </cell>
          <cell r="D48">
            <v>666</v>
          </cell>
          <cell r="E48">
            <v>1273</v>
          </cell>
          <cell r="F48">
            <v>1846</v>
          </cell>
          <cell r="G48">
            <v>2677</v>
          </cell>
          <cell r="H48">
            <v>3212.4</v>
          </cell>
        </row>
        <row r="49">
          <cell r="B49">
            <v>43</v>
          </cell>
          <cell r="C49">
            <v>728</v>
          </cell>
          <cell r="D49">
            <v>666</v>
          </cell>
          <cell r="E49">
            <v>1273</v>
          </cell>
          <cell r="F49">
            <v>1846</v>
          </cell>
          <cell r="G49">
            <v>2677</v>
          </cell>
          <cell r="H49">
            <v>3212.4</v>
          </cell>
        </row>
        <row r="50">
          <cell r="B50">
            <v>44</v>
          </cell>
          <cell r="C50">
            <v>728</v>
          </cell>
          <cell r="D50">
            <v>666</v>
          </cell>
          <cell r="E50">
            <v>1273</v>
          </cell>
          <cell r="F50">
            <v>1846</v>
          </cell>
          <cell r="G50">
            <v>2677</v>
          </cell>
          <cell r="H50">
            <v>3212.4</v>
          </cell>
        </row>
        <row r="51">
          <cell r="B51">
            <v>45</v>
          </cell>
          <cell r="C51">
            <v>728</v>
          </cell>
          <cell r="D51">
            <v>666</v>
          </cell>
          <cell r="E51">
            <v>1273</v>
          </cell>
          <cell r="F51">
            <v>1846</v>
          </cell>
          <cell r="G51">
            <v>2677</v>
          </cell>
          <cell r="H51">
            <v>3212.4</v>
          </cell>
        </row>
        <row r="52">
          <cell r="B52">
            <v>46</v>
          </cell>
          <cell r="C52">
            <v>712</v>
          </cell>
          <cell r="D52">
            <v>652</v>
          </cell>
          <cell r="E52">
            <v>1245</v>
          </cell>
          <cell r="F52">
            <v>1806</v>
          </cell>
          <cell r="G52">
            <v>618</v>
          </cell>
          <cell r="H52">
            <v>741.6</v>
          </cell>
        </row>
        <row r="53">
          <cell r="B53">
            <v>47</v>
          </cell>
          <cell r="C53">
            <v>712</v>
          </cell>
          <cell r="D53">
            <v>652</v>
          </cell>
          <cell r="E53">
            <v>1245</v>
          </cell>
          <cell r="F53">
            <v>1806</v>
          </cell>
          <cell r="G53">
            <v>618</v>
          </cell>
          <cell r="H53">
            <v>741.6</v>
          </cell>
        </row>
        <row r="54">
          <cell r="B54">
            <v>48</v>
          </cell>
          <cell r="C54">
            <v>712</v>
          </cell>
          <cell r="D54">
            <v>652</v>
          </cell>
          <cell r="E54">
            <v>1245</v>
          </cell>
          <cell r="F54">
            <v>1806</v>
          </cell>
          <cell r="G54">
            <v>618</v>
          </cell>
          <cell r="H54">
            <v>741.6</v>
          </cell>
        </row>
        <row r="55">
          <cell r="B55">
            <v>49</v>
          </cell>
          <cell r="C55">
            <v>712</v>
          </cell>
          <cell r="D55">
            <v>652</v>
          </cell>
          <cell r="E55">
            <v>1245</v>
          </cell>
          <cell r="F55">
            <v>1806</v>
          </cell>
          <cell r="G55">
            <v>618</v>
          </cell>
          <cell r="H55">
            <v>741.6</v>
          </cell>
        </row>
        <row r="56">
          <cell r="B56">
            <v>50</v>
          </cell>
          <cell r="C56">
            <v>712</v>
          </cell>
          <cell r="D56">
            <v>652</v>
          </cell>
          <cell r="E56">
            <v>1245</v>
          </cell>
          <cell r="F56">
            <v>1806</v>
          </cell>
          <cell r="G56">
            <v>618</v>
          </cell>
          <cell r="H56">
            <v>741.6</v>
          </cell>
        </row>
        <row r="57">
          <cell r="B57">
            <v>51</v>
          </cell>
          <cell r="C57">
            <v>699</v>
          </cell>
          <cell r="D57">
            <v>640</v>
          </cell>
          <cell r="E57">
            <v>1222</v>
          </cell>
          <cell r="F57">
            <v>1772</v>
          </cell>
          <cell r="G57">
            <v>2569</v>
          </cell>
          <cell r="H57">
            <v>3082.7999999999997</v>
          </cell>
        </row>
        <row r="58">
          <cell r="B58">
            <v>52</v>
          </cell>
          <cell r="C58">
            <v>699</v>
          </cell>
          <cell r="D58">
            <v>640</v>
          </cell>
          <cell r="E58">
            <v>1222</v>
          </cell>
          <cell r="F58">
            <v>1772</v>
          </cell>
          <cell r="G58">
            <v>2569</v>
          </cell>
          <cell r="H58">
            <v>3082.7999999999997</v>
          </cell>
        </row>
        <row r="59">
          <cell r="B59">
            <v>53</v>
          </cell>
          <cell r="C59">
            <v>699</v>
          </cell>
          <cell r="D59">
            <v>640</v>
          </cell>
          <cell r="E59">
            <v>1222</v>
          </cell>
          <cell r="F59">
            <v>1772</v>
          </cell>
          <cell r="G59">
            <v>2569</v>
          </cell>
          <cell r="H59">
            <v>3082.7999999999997</v>
          </cell>
        </row>
        <row r="60">
          <cell r="B60">
            <v>54</v>
          </cell>
          <cell r="C60">
            <v>699</v>
          </cell>
          <cell r="D60">
            <v>640</v>
          </cell>
          <cell r="E60">
            <v>1222</v>
          </cell>
          <cell r="F60">
            <v>1772</v>
          </cell>
          <cell r="G60">
            <v>2569</v>
          </cell>
          <cell r="H60">
            <v>3082.7999999999997</v>
          </cell>
        </row>
        <row r="61">
          <cell r="B61">
            <v>55</v>
          </cell>
          <cell r="C61">
            <v>699</v>
          </cell>
          <cell r="D61">
            <v>640</v>
          </cell>
          <cell r="E61">
            <v>1222</v>
          </cell>
          <cell r="F61">
            <v>1772</v>
          </cell>
          <cell r="G61">
            <v>2569</v>
          </cell>
          <cell r="H61">
            <v>3082.7999999999997</v>
          </cell>
        </row>
        <row r="62">
          <cell r="B62">
            <v>56</v>
          </cell>
          <cell r="C62">
            <v>688</v>
          </cell>
          <cell r="D62">
            <v>629</v>
          </cell>
          <cell r="E62">
            <v>1203</v>
          </cell>
          <cell r="F62">
            <v>1745</v>
          </cell>
          <cell r="G62">
            <v>2527</v>
          </cell>
          <cell r="H62">
            <v>3032.4</v>
          </cell>
        </row>
        <row r="63">
          <cell r="B63">
            <v>57</v>
          </cell>
          <cell r="C63">
            <v>688</v>
          </cell>
          <cell r="D63">
            <v>629</v>
          </cell>
          <cell r="E63">
            <v>1203</v>
          </cell>
          <cell r="F63">
            <v>1745</v>
          </cell>
          <cell r="G63">
            <v>2527</v>
          </cell>
          <cell r="H63">
            <v>3032.4</v>
          </cell>
        </row>
        <row r="64">
          <cell r="B64">
            <v>58</v>
          </cell>
          <cell r="C64">
            <v>688</v>
          </cell>
          <cell r="D64">
            <v>629</v>
          </cell>
          <cell r="E64">
            <v>1203</v>
          </cell>
          <cell r="F64">
            <v>1745</v>
          </cell>
          <cell r="G64">
            <v>2527</v>
          </cell>
          <cell r="H64">
            <v>3032.4</v>
          </cell>
        </row>
        <row r="65">
          <cell r="B65">
            <v>59</v>
          </cell>
          <cell r="C65">
            <v>688</v>
          </cell>
          <cell r="D65">
            <v>629</v>
          </cell>
          <cell r="E65">
            <v>1203</v>
          </cell>
          <cell r="F65">
            <v>1745</v>
          </cell>
          <cell r="G65">
            <v>2527</v>
          </cell>
          <cell r="H65">
            <v>3032.4</v>
          </cell>
        </row>
        <row r="66">
          <cell r="B66">
            <v>60</v>
          </cell>
          <cell r="C66">
            <v>688</v>
          </cell>
          <cell r="D66">
            <v>629</v>
          </cell>
          <cell r="E66">
            <v>1203</v>
          </cell>
          <cell r="F66">
            <v>1745</v>
          </cell>
          <cell r="G66">
            <v>2527</v>
          </cell>
          <cell r="H66">
            <v>3032.4</v>
          </cell>
        </row>
        <row r="67">
          <cell r="B67">
            <v>61</v>
          </cell>
          <cell r="C67">
            <v>677</v>
          </cell>
          <cell r="D67">
            <v>620</v>
          </cell>
          <cell r="E67">
            <v>1184</v>
          </cell>
          <cell r="F67">
            <v>1741</v>
          </cell>
          <cell r="G67">
            <v>2525</v>
          </cell>
          <cell r="H67">
            <v>3030</v>
          </cell>
        </row>
        <row r="68">
          <cell r="B68">
            <v>62</v>
          </cell>
          <cell r="C68">
            <v>677</v>
          </cell>
          <cell r="D68">
            <v>620</v>
          </cell>
          <cell r="E68">
            <v>1184</v>
          </cell>
          <cell r="F68">
            <v>1741</v>
          </cell>
          <cell r="G68">
            <v>2525</v>
          </cell>
          <cell r="H68">
            <v>3030</v>
          </cell>
        </row>
        <row r="69">
          <cell r="B69">
            <v>63</v>
          </cell>
          <cell r="C69">
            <v>677</v>
          </cell>
          <cell r="D69">
            <v>620</v>
          </cell>
          <cell r="E69">
            <v>1184</v>
          </cell>
          <cell r="F69">
            <v>1741</v>
          </cell>
          <cell r="G69">
            <v>2525</v>
          </cell>
          <cell r="H69">
            <v>3030</v>
          </cell>
        </row>
        <row r="70">
          <cell r="B70">
            <v>64</v>
          </cell>
          <cell r="C70">
            <v>677</v>
          </cell>
          <cell r="D70">
            <v>620</v>
          </cell>
          <cell r="E70">
            <v>1184</v>
          </cell>
          <cell r="F70">
            <v>1741</v>
          </cell>
          <cell r="G70">
            <v>2525</v>
          </cell>
          <cell r="H70">
            <v>3030</v>
          </cell>
        </row>
        <row r="71">
          <cell r="B71">
            <v>65</v>
          </cell>
          <cell r="C71">
            <v>677</v>
          </cell>
          <cell r="D71">
            <v>620</v>
          </cell>
          <cell r="E71">
            <v>1184</v>
          </cell>
          <cell r="F71">
            <v>1741</v>
          </cell>
          <cell r="G71">
            <v>2525</v>
          </cell>
          <cell r="H71">
            <v>3030</v>
          </cell>
        </row>
        <row r="72">
          <cell r="B72">
            <v>66</v>
          </cell>
          <cell r="C72">
            <v>677</v>
          </cell>
          <cell r="D72">
            <v>620</v>
          </cell>
          <cell r="E72">
            <v>1184</v>
          </cell>
          <cell r="F72">
            <v>1741</v>
          </cell>
          <cell r="G72">
            <v>2525</v>
          </cell>
          <cell r="H72">
            <v>3030</v>
          </cell>
        </row>
        <row r="73">
          <cell r="B73">
            <v>67</v>
          </cell>
          <cell r="C73">
            <v>677</v>
          </cell>
          <cell r="D73">
            <v>620</v>
          </cell>
          <cell r="E73">
            <v>1184</v>
          </cell>
          <cell r="F73">
            <v>1741</v>
          </cell>
          <cell r="G73">
            <v>2525</v>
          </cell>
          <cell r="H73">
            <v>3030</v>
          </cell>
        </row>
        <row r="74">
          <cell r="B74">
            <v>68</v>
          </cell>
          <cell r="C74">
            <v>677</v>
          </cell>
          <cell r="D74">
            <v>620</v>
          </cell>
          <cell r="E74">
            <v>1184</v>
          </cell>
          <cell r="F74">
            <v>1741</v>
          </cell>
          <cell r="G74">
            <v>2525</v>
          </cell>
          <cell r="H74">
            <v>3030</v>
          </cell>
        </row>
        <row r="75">
          <cell r="B75">
            <v>69</v>
          </cell>
          <cell r="C75">
            <v>677</v>
          </cell>
          <cell r="D75">
            <v>620</v>
          </cell>
          <cell r="E75">
            <v>1184</v>
          </cell>
          <cell r="F75">
            <v>1741</v>
          </cell>
          <cell r="G75">
            <v>2525</v>
          </cell>
          <cell r="H75">
            <v>3030</v>
          </cell>
        </row>
        <row r="76">
          <cell r="B76">
            <v>70</v>
          </cell>
          <cell r="C76">
            <v>677</v>
          </cell>
          <cell r="D76">
            <v>620</v>
          </cell>
          <cell r="E76">
            <v>1184</v>
          </cell>
          <cell r="F76">
            <v>1741</v>
          </cell>
          <cell r="G76">
            <v>2525</v>
          </cell>
          <cell r="H76">
            <v>3030</v>
          </cell>
        </row>
        <row r="77">
          <cell r="B77">
            <v>71</v>
          </cell>
          <cell r="C77">
            <v>668</v>
          </cell>
          <cell r="D77">
            <v>612</v>
          </cell>
          <cell r="E77">
            <v>1170</v>
          </cell>
          <cell r="F77">
            <v>1697</v>
          </cell>
          <cell r="G77">
            <v>2460</v>
          </cell>
          <cell r="H77">
            <v>2952</v>
          </cell>
        </row>
        <row r="78">
          <cell r="B78">
            <v>72</v>
          </cell>
          <cell r="C78">
            <v>668</v>
          </cell>
          <cell r="D78">
            <v>612</v>
          </cell>
          <cell r="E78">
            <v>1170</v>
          </cell>
          <cell r="F78">
            <v>1697</v>
          </cell>
          <cell r="G78">
            <v>2460</v>
          </cell>
          <cell r="H78">
            <v>2952</v>
          </cell>
        </row>
        <row r="79">
          <cell r="B79">
            <v>73</v>
          </cell>
          <cell r="C79">
            <v>668</v>
          </cell>
          <cell r="D79">
            <v>612</v>
          </cell>
          <cell r="E79">
            <v>1170</v>
          </cell>
          <cell r="F79">
            <v>1697</v>
          </cell>
          <cell r="G79">
            <v>2460</v>
          </cell>
          <cell r="H79">
            <v>2952</v>
          </cell>
        </row>
        <row r="80">
          <cell r="B80">
            <v>74</v>
          </cell>
          <cell r="C80">
            <v>668</v>
          </cell>
          <cell r="D80">
            <v>612</v>
          </cell>
          <cell r="E80">
            <v>1170</v>
          </cell>
          <cell r="F80">
            <v>1697</v>
          </cell>
          <cell r="G80">
            <v>2460</v>
          </cell>
          <cell r="H80">
            <v>2952</v>
          </cell>
        </row>
        <row r="81">
          <cell r="B81">
            <v>75</v>
          </cell>
          <cell r="C81">
            <v>668</v>
          </cell>
          <cell r="D81">
            <v>612</v>
          </cell>
          <cell r="E81">
            <v>1170</v>
          </cell>
          <cell r="F81">
            <v>1697</v>
          </cell>
          <cell r="G81">
            <v>2460</v>
          </cell>
          <cell r="H81">
            <v>2952</v>
          </cell>
        </row>
        <row r="82">
          <cell r="B82">
            <v>76</v>
          </cell>
          <cell r="C82">
            <v>668</v>
          </cell>
          <cell r="D82">
            <v>612</v>
          </cell>
          <cell r="E82">
            <v>1170</v>
          </cell>
          <cell r="F82">
            <v>1697</v>
          </cell>
          <cell r="G82">
            <v>2460</v>
          </cell>
          <cell r="H82">
            <v>2952</v>
          </cell>
        </row>
        <row r="83">
          <cell r="B83">
            <v>77</v>
          </cell>
          <cell r="C83">
            <v>668</v>
          </cell>
          <cell r="D83">
            <v>612</v>
          </cell>
          <cell r="E83">
            <v>1170</v>
          </cell>
          <cell r="F83">
            <v>1697</v>
          </cell>
          <cell r="G83">
            <v>2460</v>
          </cell>
          <cell r="H83">
            <v>2952</v>
          </cell>
        </row>
        <row r="84">
          <cell r="B84">
            <v>78</v>
          </cell>
          <cell r="C84">
            <v>668</v>
          </cell>
          <cell r="D84">
            <v>612</v>
          </cell>
          <cell r="E84">
            <v>1170</v>
          </cell>
          <cell r="F84">
            <v>1697</v>
          </cell>
          <cell r="G84">
            <v>2460</v>
          </cell>
          <cell r="H84">
            <v>2952</v>
          </cell>
        </row>
        <row r="85">
          <cell r="B85">
            <v>79</v>
          </cell>
          <cell r="C85">
            <v>668</v>
          </cell>
          <cell r="D85">
            <v>612</v>
          </cell>
          <cell r="E85">
            <v>1170</v>
          </cell>
          <cell r="F85">
            <v>1697</v>
          </cell>
          <cell r="G85">
            <v>2460</v>
          </cell>
          <cell r="H85">
            <v>2952</v>
          </cell>
        </row>
        <row r="86">
          <cell r="B86">
            <v>80</v>
          </cell>
          <cell r="C86">
            <v>668</v>
          </cell>
          <cell r="D86">
            <v>612</v>
          </cell>
          <cell r="E86">
            <v>1170</v>
          </cell>
          <cell r="F86">
            <v>1697</v>
          </cell>
          <cell r="G86">
            <v>2460</v>
          </cell>
          <cell r="H86">
            <v>2952</v>
          </cell>
        </row>
        <row r="87">
          <cell r="B87">
            <v>81</v>
          </cell>
          <cell r="C87">
            <v>660</v>
          </cell>
          <cell r="D87">
            <v>604</v>
          </cell>
          <cell r="E87">
            <v>1154</v>
          </cell>
          <cell r="F87">
            <v>1673</v>
          </cell>
          <cell r="G87">
            <v>2426</v>
          </cell>
          <cell r="H87">
            <v>2911.2</v>
          </cell>
        </row>
        <row r="88">
          <cell r="B88">
            <v>82</v>
          </cell>
          <cell r="C88">
            <v>660</v>
          </cell>
          <cell r="D88">
            <v>604</v>
          </cell>
          <cell r="E88">
            <v>1154</v>
          </cell>
          <cell r="F88">
            <v>1673</v>
          </cell>
          <cell r="G88">
            <v>2426</v>
          </cell>
          <cell r="H88">
            <v>2911.2</v>
          </cell>
        </row>
        <row r="89">
          <cell r="B89">
            <v>83</v>
          </cell>
          <cell r="C89">
            <v>660</v>
          </cell>
          <cell r="D89">
            <v>604</v>
          </cell>
          <cell r="E89">
            <v>1154</v>
          </cell>
          <cell r="F89">
            <v>1673</v>
          </cell>
          <cell r="G89">
            <v>2426</v>
          </cell>
          <cell r="H89">
            <v>2911.2</v>
          </cell>
        </row>
        <row r="90">
          <cell r="B90">
            <v>84</v>
          </cell>
          <cell r="C90">
            <v>660</v>
          </cell>
          <cell r="D90">
            <v>604</v>
          </cell>
          <cell r="E90">
            <v>1154</v>
          </cell>
          <cell r="F90">
            <v>1673</v>
          </cell>
          <cell r="G90">
            <v>2426</v>
          </cell>
          <cell r="H90">
            <v>2911.2</v>
          </cell>
        </row>
        <row r="91">
          <cell r="B91">
            <v>85</v>
          </cell>
          <cell r="C91">
            <v>660</v>
          </cell>
          <cell r="D91">
            <v>604</v>
          </cell>
          <cell r="E91">
            <v>1154</v>
          </cell>
          <cell r="F91">
            <v>1673</v>
          </cell>
          <cell r="G91">
            <v>2426</v>
          </cell>
          <cell r="H91">
            <v>2911.2</v>
          </cell>
        </row>
        <row r="92">
          <cell r="B92">
            <v>86</v>
          </cell>
          <cell r="C92">
            <v>660</v>
          </cell>
          <cell r="D92">
            <v>604</v>
          </cell>
          <cell r="E92">
            <v>1154</v>
          </cell>
          <cell r="F92">
            <v>1673</v>
          </cell>
          <cell r="G92">
            <v>2426</v>
          </cell>
          <cell r="H92">
            <v>2911.2</v>
          </cell>
        </row>
        <row r="93">
          <cell r="B93">
            <v>87</v>
          </cell>
          <cell r="C93">
            <v>660</v>
          </cell>
          <cell r="D93">
            <v>604</v>
          </cell>
          <cell r="E93">
            <v>1154</v>
          </cell>
          <cell r="F93">
            <v>1673</v>
          </cell>
          <cell r="G93">
            <v>2426</v>
          </cell>
          <cell r="H93">
            <v>2911.2</v>
          </cell>
        </row>
        <row r="94">
          <cell r="B94">
            <v>88</v>
          </cell>
          <cell r="C94">
            <v>660</v>
          </cell>
          <cell r="D94">
            <v>604</v>
          </cell>
          <cell r="E94">
            <v>1154</v>
          </cell>
          <cell r="F94">
            <v>1673</v>
          </cell>
          <cell r="G94">
            <v>2426</v>
          </cell>
          <cell r="H94">
            <v>2911.2</v>
          </cell>
        </row>
        <row r="95">
          <cell r="B95">
            <v>89</v>
          </cell>
          <cell r="C95">
            <v>660</v>
          </cell>
          <cell r="D95">
            <v>604</v>
          </cell>
          <cell r="E95">
            <v>1154</v>
          </cell>
          <cell r="F95">
            <v>1673</v>
          </cell>
          <cell r="G95">
            <v>2426</v>
          </cell>
          <cell r="H95">
            <v>2911.2</v>
          </cell>
        </row>
        <row r="96">
          <cell r="B96">
            <v>90</v>
          </cell>
          <cell r="C96">
            <v>660</v>
          </cell>
          <cell r="D96">
            <v>604</v>
          </cell>
          <cell r="E96">
            <v>1154</v>
          </cell>
          <cell r="F96">
            <v>1673</v>
          </cell>
          <cell r="G96">
            <v>2426</v>
          </cell>
          <cell r="H96">
            <v>2911.2</v>
          </cell>
        </row>
        <row r="97">
          <cell r="B97">
            <v>91</v>
          </cell>
          <cell r="C97">
            <v>655</v>
          </cell>
          <cell r="D97">
            <v>600</v>
          </cell>
          <cell r="E97">
            <v>1147</v>
          </cell>
          <cell r="F97">
            <v>1667</v>
          </cell>
          <cell r="G97">
            <v>2412</v>
          </cell>
          <cell r="H97">
            <v>2894.4</v>
          </cell>
        </row>
        <row r="98">
          <cell r="B98">
            <v>92</v>
          </cell>
          <cell r="C98">
            <v>655</v>
          </cell>
          <cell r="D98">
            <v>600</v>
          </cell>
          <cell r="E98">
            <v>1147</v>
          </cell>
          <cell r="F98">
            <v>1667</v>
          </cell>
          <cell r="G98">
            <v>2412</v>
          </cell>
          <cell r="H98">
            <v>2894.4</v>
          </cell>
        </row>
        <row r="99">
          <cell r="B99">
            <v>93</v>
          </cell>
          <cell r="C99">
            <v>655</v>
          </cell>
          <cell r="D99">
            <v>600</v>
          </cell>
          <cell r="E99">
            <v>1147</v>
          </cell>
          <cell r="F99">
            <v>1667</v>
          </cell>
          <cell r="G99">
            <v>2412</v>
          </cell>
          <cell r="H99">
            <v>2894.4</v>
          </cell>
        </row>
        <row r="100">
          <cell r="B100">
            <v>94</v>
          </cell>
          <cell r="C100">
            <v>655</v>
          </cell>
          <cell r="D100">
            <v>600</v>
          </cell>
          <cell r="E100">
            <v>1147</v>
          </cell>
          <cell r="F100">
            <v>1667</v>
          </cell>
          <cell r="G100">
            <v>2412</v>
          </cell>
          <cell r="H100">
            <v>2894.4</v>
          </cell>
        </row>
        <row r="101">
          <cell r="B101">
            <v>95</v>
          </cell>
          <cell r="C101">
            <v>655</v>
          </cell>
          <cell r="D101">
            <v>600</v>
          </cell>
          <cell r="E101">
            <v>1147</v>
          </cell>
          <cell r="F101">
            <v>1667</v>
          </cell>
          <cell r="G101">
            <v>2412</v>
          </cell>
          <cell r="H101">
            <v>2894.4</v>
          </cell>
        </row>
        <row r="102">
          <cell r="B102">
            <v>96</v>
          </cell>
          <cell r="C102">
            <v>655</v>
          </cell>
          <cell r="D102">
            <v>600</v>
          </cell>
          <cell r="E102">
            <v>1147</v>
          </cell>
          <cell r="F102">
            <v>1667</v>
          </cell>
          <cell r="G102">
            <v>2412</v>
          </cell>
          <cell r="H102">
            <v>2894.4</v>
          </cell>
        </row>
        <row r="103">
          <cell r="B103">
            <v>97</v>
          </cell>
          <cell r="C103">
            <v>655</v>
          </cell>
          <cell r="D103">
            <v>600</v>
          </cell>
          <cell r="E103">
            <v>1147</v>
          </cell>
          <cell r="F103">
            <v>1667</v>
          </cell>
          <cell r="G103">
            <v>2412</v>
          </cell>
          <cell r="H103">
            <v>2894.4</v>
          </cell>
        </row>
        <row r="104">
          <cell r="B104">
            <v>98</v>
          </cell>
          <cell r="C104">
            <v>655</v>
          </cell>
          <cell r="D104">
            <v>600</v>
          </cell>
          <cell r="E104">
            <v>1147</v>
          </cell>
          <cell r="F104">
            <v>1667</v>
          </cell>
          <cell r="G104">
            <v>2412</v>
          </cell>
          <cell r="H104">
            <v>2894.4</v>
          </cell>
        </row>
        <row r="105">
          <cell r="B105">
            <v>99</v>
          </cell>
          <cell r="C105">
            <v>655</v>
          </cell>
          <cell r="D105">
            <v>600</v>
          </cell>
          <cell r="E105">
            <v>1147</v>
          </cell>
          <cell r="F105">
            <v>1667</v>
          </cell>
          <cell r="G105">
            <v>2412</v>
          </cell>
          <cell r="H105">
            <v>2894.4</v>
          </cell>
        </row>
        <row r="106">
          <cell r="B106">
            <v>100</v>
          </cell>
          <cell r="C106">
            <v>655</v>
          </cell>
          <cell r="D106">
            <v>600</v>
          </cell>
          <cell r="E106">
            <v>1147</v>
          </cell>
          <cell r="F106">
            <v>1667</v>
          </cell>
          <cell r="G106">
            <v>2412</v>
          </cell>
          <cell r="H106">
            <v>2894.4</v>
          </cell>
        </row>
        <row r="107">
          <cell r="B107" t="str">
            <v>&gt;100</v>
          </cell>
          <cell r="C107">
            <v>650</v>
          </cell>
          <cell r="D107">
            <v>595</v>
          </cell>
          <cell r="E107">
            <v>1138</v>
          </cell>
          <cell r="F107">
            <v>1650</v>
          </cell>
          <cell r="G107">
            <v>2392</v>
          </cell>
          <cell r="H107">
            <v>2870.4</v>
          </cell>
        </row>
        <row r="111">
          <cell r="B111" t="str">
            <v>B¶NG TÝNH GI¸ vËt liÖu ®iÖn - n­íc theo b¸o gi¸ h»ng th¸ng </v>
          </cell>
        </row>
        <row r="112">
          <cell r="B112" t="str">
            <v>STT</v>
          </cell>
          <cell r="C112" t="str">
            <v>M· hiÖu</v>
          </cell>
          <cell r="D112" t="str">
            <v>Tªn vËt t­</v>
          </cell>
          <cell r="E112" t="str">
            <v>§¬n vÞ</v>
          </cell>
          <cell r="F112" t="str">
            <v>§¬n gi¸
(tr­íc thuÕ)</v>
          </cell>
          <cell r="G112" t="str">
            <v>§¬n gi¸ 
(sau thuÕ)</v>
          </cell>
        </row>
        <row r="113">
          <cell r="B113" t="str">
            <v>I</v>
          </cell>
          <cell r="C113" t="str">
            <v>ON</v>
          </cell>
          <cell r="D113" t="str">
            <v>Oáng nhöïa </v>
          </cell>
        </row>
        <row r="114">
          <cell r="C114" t="str">
            <v>ONF21</v>
          </cell>
          <cell r="D114" t="str">
            <v>Oáng nhöïa PVC Þ 21mm</v>
          </cell>
        </row>
        <row r="115">
          <cell r="C115" t="str">
            <v>ONF27</v>
          </cell>
          <cell r="D115" t="str">
            <v>Oáng nhöïa PVC Þ 27mm</v>
          </cell>
        </row>
        <row r="116">
          <cell r="C116" t="str">
            <v>ONF34</v>
          </cell>
          <cell r="D116" t="str">
            <v>Oáng nhöïa PVC Þ 34mm</v>
          </cell>
        </row>
        <row r="117">
          <cell r="C117" t="str">
            <v>ONF42</v>
          </cell>
          <cell r="D117" t="str">
            <v>Oáng nhöïa PVC Þ 42mm</v>
          </cell>
        </row>
        <row r="118">
          <cell r="C118" t="str">
            <v>ONF49</v>
          </cell>
          <cell r="D118" t="str">
            <v>Oáng nhöïa PVC Þ 49mm</v>
          </cell>
        </row>
        <row r="119">
          <cell r="C119" t="str">
            <v>ONF60</v>
          </cell>
          <cell r="D119" t="str">
            <v>Oáng nhöïa PVC Þ 60mm</v>
          </cell>
        </row>
        <row r="120">
          <cell r="C120" t="str">
            <v>ONF90</v>
          </cell>
          <cell r="D120" t="str">
            <v>Oáng nhöïa PVC Þ 90mm</v>
          </cell>
        </row>
        <row r="121">
          <cell r="C121" t="str">
            <v>ONF114</v>
          </cell>
          <cell r="D121" t="str">
            <v>Oáng nhöïa PVC Þ 114mm</v>
          </cell>
        </row>
        <row r="122">
          <cell r="C122" t="str">
            <v>ONF168</v>
          </cell>
          <cell r="D122" t="str">
            <v>Oáng nhöïa PVC Þ 168mm</v>
          </cell>
        </row>
      </sheetData>
      <sheetData sheetId="30">
        <row r="12">
          <cell r="G12" t="str">
            <v>TR¦êNG TIÓU HäC HµM Mü 2</v>
          </cell>
        </row>
        <row r="13">
          <cell r="G13" t="str">
            <v>KHèI 8 PHßNG häc</v>
          </cell>
        </row>
      </sheetData>
      <sheetData sheetId="31">
        <row r="1">
          <cell r="CA1">
            <v>1139358181.8181818</v>
          </cell>
          <cell r="CI1">
            <v>1</v>
          </cell>
        </row>
        <row r="2">
          <cell r="CA2">
            <v>0</v>
          </cell>
          <cell r="CI2">
            <v>1</v>
          </cell>
        </row>
        <row r="3">
          <cell r="CA3">
            <v>1139358181.8181818</v>
          </cell>
          <cell r="CI3">
            <v>0</v>
          </cell>
        </row>
        <row r="13">
          <cell r="CA13">
            <v>0</v>
          </cell>
          <cell r="CB13">
            <v>2.524</v>
          </cell>
          <cell r="CC13">
            <v>2.657</v>
          </cell>
          <cell r="CD13">
            <v>2.259</v>
          </cell>
          <cell r="CE13">
            <v>2.391</v>
          </cell>
          <cell r="CF13">
            <v>2.125</v>
          </cell>
        </row>
        <row r="14">
          <cell r="CA14">
            <v>10000000000</v>
          </cell>
          <cell r="CB14">
            <v>2.524</v>
          </cell>
          <cell r="CC14">
            <v>2.657</v>
          </cell>
          <cell r="CD14">
            <v>2.259</v>
          </cell>
          <cell r="CE14">
            <v>2.391</v>
          </cell>
          <cell r="CF14">
            <v>2.125</v>
          </cell>
        </row>
        <row r="15">
          <cell r="CA15">
            <v>20000000000</v>
          </cell>
          <cell r="CB15">
            <v>2.141</v>
          </cell>
          <cell r="CC15">
            <v>2.254</v>
          </cell>
          <cell r="CD15">
            <v>1.916</v>
          </cell>
          <cell r="CE15">
            <v>2.029</v>
          </cell>
          <cell r="CF15">
            <v>1.803</v>
          </cell>
        </row>
        <row r="16">
          <cell r="CA16">
            <v>50000000000</v>
          </cell>
          <cell r="CB16">
            <v>1.912</v>
          </cell>
          <cell r="CC16">
            <v>2.013</v>
          </cell>
          <cell r="CD16">
            <v>1.711</v>
          </cell>
          <cell r="CE16">
            <v>1.811</v>
          </cell>
          <cell r="CF16">
            <v>1.61</v>
          </cell>
        </row>
        <row r="17">
          <cell r="CA17">
            <v>100000000000</v>
          </cell>
          <cell r="CB17">
            <v>1.537</v>
          </cell>
          <cell r="CC17">
            <v>1.617</v>
          </cell>
          <cell r="CD17">
            <v>1.375</v>
          </cell>
          <cell r="CE17">
            <v>1.455</v>
          </cell>
          <cell r="CF17">
            <v>1.294</v>
          </cell>
        </row>
        <row r="18">
          <cell r="CA18">
            <v>200000000000</v>
          </cell>
          <cell r="CB18">
            <v>1.436</v>
          </cell>
          <cell r="CC18">
            <v>1.512</v>
          </cell>
          <cell r="CD18">
            <v>1.285</v>
          </cell>
          <cell r="CE18">
            <v>1.361</v>
          </cell>
          <cell r="CF18">
            <v>1.21</v>
          </cell>
        </row>
        <row r="19">
          <cell r="CA19">
            <v>500000000000</v>
          </cell>
          <cell r="CB19">
            <v>1.254</v>
          </cell>
          <cell r="CC19">
            <v>1.32</v>
          </cell>
          <cell r="CD19">
            <v>1.122</v>
          </cell>
          <cell r="CE19">
            <v>1.188</v>
          </cell>
          <cell r="CF19">
            <v>1.057</v>
          </cell>
        </row>
        <row r="20">
          <cell r="CA20">
            <v>1000000000000</v>
          </cell>
          <cell r="CB20">
            <v>1.026</v>
          </cell>
          <cell r="CC20">
            <v>1.08</v>
          </cell>
          <cell r="CD20">
            <v>0.918</v>
          </cell>
          <cell r="CE20">
            <v>0.972</v>
          </cell>
          <cell r="CF20">
            <v>0.864</v>
          </cell>
        </row>
        <row r="21">
          <cell r="CA21">
            <v>2000000000000</v>
          </cell>
          <cell r="CB21">
            <v>0.793</v>
          </cell>
          <cell r="CC21">
            <v>0.931</v>
          </cell>
          <cell r="CD21">
            <v>0.791</v>
          </cell>
          <cell r="CE21">
            <v>0.838</v>
          </cell>
          <cell r="CF21">
            <v>0.744</v>
          </cell>
        </row>
        <row r="22">
          <cell r="CA22">
            <v>5000000000000</v>
          </cell>
          <cell r="CB22">
            <v>0.589</v>
          </cell>
          <cell r="CC22">
            <v>0.62</v>
          </cell>
          <cell r="CD22">
            <v>0.527</v>
          </cell>
          <cell r="CE22">
            <v>0.558</v>
          </cell>
          <cell r="CF22">
            <v>0.496</v>
          </cell>
        </row>
        <row r="23">
          <cell r="CA23">
            <v>10000000000000</v>
          </cell>
          <cell r="CB23">
            <v>0.442</v>
          </cell>
          <cell r="CC23">
            <v>0.465</v>
          </cell>
          <cell r="CD23">
            <v>0.395</v>
          </cell>
          <cell r="CE23">
            <v>0.419</v>
          </cell>
          <cell r="CF23">
            <v>0.372</v>
          </cell>
        </row>
        <row r="24">
          <cell r="CA24">
            <v>20000000000000</v>
          </cell>
          <cell r="CB24">
            <v>0.33</v>
          </cell>
          <cell r="CC24">
            <v>0.347</v>
          </cell>
          <cell r="CD24">
            <v>0.295</v>
          </cell>
          <cell r="CE24">
            <v>0.313</v>
          </cell>
          <cell r="CF24">
            <v>0.278</v>
          </cell>
        </row>
        <row r="25">
          <cell r="CA25">
            <v>30000000000000</v>
          </cell>
          <cell r="CB25">
            <v>0.264</v>
          </cell>
          <cell r="CC25">
            <v>0.278</v>
          </cell>
          <cell r="CD25">
            <v>0.236</v>
          </cell>
          <cell r="CE25">
            <v>0.25</v>
          </cell>
          <cell r="CF25">
            <v>0.222</v>
          </cell>
        </row>
        <row r="26">
          <cell r="CA26">
            <v>9.99999999999999E+307</v>
          </cell>
          <cell r="CB26">
            <v>0.264</v>
          </cell>
          <cell r="CC26">
            <v>0.278</v>
          </cell>
          <cell r="CD26">
            <v>0.236</v>
          </cell>
          <cell r="CE26">
            <v>0.25</v>
          </cell>
          <cell r="CF26">
            <v>0.222</v>
          </cell>
        </row>
        <row r="27">
          <cell r="CA27">
            <v>1</v>
          </cell>
        </row>
        <row r="28">
          <cell r="CF28">
            <v>2.524</v>
          </cell>
        </row>
        <row r="36">
          <cell r="CA36">
            <v>0</v>
          </cell>
          <cell r="CB36">
            <v>0.655</v>
          </cell>
          <cell r="CC36">
            <v>0.934</v>
          </cell>
          <cell r="CD36">
            <v>0.492</v>
          </cell>
          <cell r="CE36">
            <v>0.589</v>
          </cell>
          <cell r="CF36">
            <v>0.514</v>
          </cell>
        </row>
        <row r="37">
          <cell r="CA37">
            <v>15000000000</v>
          </cell>
          <cell r="CB37">
            <v>0.655</v>
          </cell>
          <cell r="CC37">
            <v>0.934</v>
          </cell>
          <cell r="CD37">
            <v>0.492</v>
          </cell>
          <cell r="CE37">
            <v>0.589</v>
          </cell>
          <cell r="CF37">
            <v>0.514</v>
          </cell>
        </row>
        <row r="38">
          <cell r="CA38">
            <v>20000000000</v>
          </cell>
          <cell r="CB38">
            <v>0.538</v>
          </cell>
          <cell r="CC38">
            <v>0.794</v>
          </cell>
          <cell r="CD38">
            <v>0.449</v>
          </cell>
          <cell r="CE38">
            <v>0.536</v>
          </cell>
          <cell r="CF38">
            <v>0.467</v>
          </cell>
        </row>
        <row r="39">
          <cell r="CA39">
            <v>50000000000</v>
          </cell>
          <cell r="CB39">
            <v>0.442</v>
          </cell>
          <cell r="CC39">
            <v>0.63</v>
          </cell>
          <cell r="CD39">
            <v>0.358</v>
          </cell>
          <cell r="CE39">
            <v>0.428</v>
          </cell>
          <cell r="CF39">
            <v>0.374</v>
          </cell>
        </row>
        <row r="40">
          <cell r="CA40">
            <v>100000000000</v>
          </cell>
          <cell r="CB40">
            <v>0.314</v>
          </cell>
          <cell r="CC40">
            <v>0.467</v>
          </cell>
          <cell r="CD40">
            <v>0.281</v>
          </cell>
          <cell r="CE40">
            <v>0.3</v>
          </cell>
          <cell r="CF40">
            <v>0.291</v>
          </cell>
        </row>
        <row r="41">
          <cell r="CA41">
            <v>200000000000</v>
          </cell>
          <cell r="CB41">
            <v>0.237</v>
          </cell>
          <cell r="CC41">
            <v>0.368</v>
          </cell>
          <cell r="CD41">
            <v>0.194</v>
          </cell>
          <cell r="CE41">
            <v>0.226</v>
          </cell>
          <cell r="CF41">
            <v>0.2</v>
          </cell>
        </row>
        <row r="42">
          <cell r="CA42">
            <v>500000000000</v>
          </cell>
          <cell r="CB42">
            <v>0.191</v>
          </cell>
          <cell r="CC42">
            <v>0.345</v>
          </cell>
          <cell r="CD42">
            <v>0.15</v>
          </cell>
          <cell r="CE42">
            <v>0.182</v>
          </cell>
          <cell r="CF42">
            <v>0.157</v>
          </cell>
        </row>
        <row r="43">
          <cell r="CA43">
            <v>1000000000000</v>
          </cell>
          <cell r="CB43">
            <v>0.164</v>
          </cell>
          <cell r="CC43">
            <v>0.299</v>
          </cell>
          <cell r="CD43">
            <v>0.131</v>
          </cell>
          <cell r="CE43">
            <v>0.157</v>
          </cell>
          <cell r="CF43">
            <v>0.137</v>
          </cell>
        </row>
        <row r="44">
          <cell r="CA44">
            <v>2000000000000</v>
          </cell>
          <cell r="CB44">
            <v>0.139</v>
          </cell>
          <cell r="CC44">
            <v>0.242</v>
          </cell>
          <cell r="CD44">
            <v>0.112</v>
          </cell>
          <cell r="CE44">
            <v>0.134</v>
          </cell>
          <cell r="CF44">
            <v>0.117</v>
          </cell>
        </row>
        <row r="45">
          <cell r="CA45">
            <v>5000000000000</v>
          </cell>
          <cell r="CB45">
            <v>0.111</v>
          </cell>
          <cell r="CC45">
            <v>0.207</v>
          </cell>
          <cell r="CD45">
            <v>0.089</v>
          </cell>
          <cell r="CE45">
            <v>0.107</v>
          </cell>
          <cell r="CF45">
            <v>0.094</v>
          </cell>
        </row>
        <row r="46">
          <cell r="CA46">
            <v>10000000000000</v>
          </cell>
          <cell r="CB46">
            <v>0.089</v>
          </cell>
          <cell r="CC46">
            <v>0.145</v>
          </cell>
          <cell r="CD46">
            <v>0.072</v>
          </cell>
          <cell r="CE46">
            <v>0.086</v>
          </cell>
          <cell r="CF46">
            <v>0.075</v>
          </cell>
        </row>
        <row r="47">
          <cell r="CA47">
            <v>20000000000000</v>
          </cell>
          <cell r="CB47">
            <v>0.07</v>
          </cell>
          <cell r="CC47">
            <v>0.104</v>
          </cell>
          <cell r="CD47">
            <v>0.058</v>
          </cell>
          <cell r="CE47">
            <v>0.069</v>
          </cell>
          <cell r="CF47">
            <v>0.06</v>
          </cell>
          <cell r="CH47" t="str">
            <v/>
          </cell>
          <cell r="CI47" t="str">
            <v/>
          </cell>
          <cell r="CJ47">
            <v>0</v>
          </cell>
        </row>
        <row r="48">
          <cell r="CA48">
            <v>30000000000000</v>
          </cell>
          <cell r="CB48">
            <v>0.057</v>
          </cell>
          <cell r="CC48">
            <v>0.074</v>
          </cell>
          <cell r="CD48">
            <v>0.047</v>
          </cell>
          <cell r="CE48">
            <v>0.057</v>
          </cell>
          <cell r="CF48">
            <v>0.048</v>
          </cell>
        </row>
        <row r="49">
          <cell r="CA49">
            <v>9.99999999999999E+307</v>
          </cell>
          <cell r="CB49">
            <v>0.057</v>
          </cell>
          <cell r="CC49">
            <v>0.074</v>
          </cell>
          <cell r="CD49">
            <v>0.047</v>
          </cell>
          <cell r="CE49">
            <v>0.057</v>
          </cell>
          <cell r="CF49">
            <v>0.048</v>
          </cell>
        </row>
        <row r="50">
          <cell r="CA50">
            <v>1</v>
          </cell>
        </row>
        <row r="51">
          <cell r="CF51">
            <v>0</v>
          </cell>
        </row>
        <row r="58">
          <cell r="CA58">
            <v>0</v>
          </cell>
          <cell r="CB58">
            <v>3.6</v>
          </cell>
          <cell r="CC58">
            <v>3.7</v>
          </cell>
          <cell r="CD58">
            <v>2.8</v>
          </cell>
          <cell r="CE58">
            <v>3.4</v>
          </cell>
          <cell r="CF58">
            <v>3.2</v>
          </cell>
        </row>
        <row r="59">
          <cell r="CA59">
            <v>3000000000</v>
          </cell>
          <cell r="CB59">
            <v>3.6</v>
          </cell>
          <cell r="CC59">
            <v>3.7</v>
          </cell>
          <cell r="CD59">
            <v>2.8</v>
          </cell>
          <cell r="CE59">
            <v>3.4</v>
          </cell>
          <cell r="CF59">
            <v>3.2</v>
          </cell>
        </row>
        <row r="60">
          <cell r="CA60">
            <v>7000000000</v>
          </cell>
          <cell r="CB60">
            <v>3.2</v>
          </cell>
          <cell r="CC60">
            <v>3.3</v>
          </cell>
          <cell r="CD60">
            <v>2.1</v>
          </cell>
          <cell r="CE60">
            <v>3</v>
          </cell>
          <cell r="CF60">
            <v>2.6</v>
          </cell>
          <cell r="CH60" t="str">
            <v>Chi phÝ lËp b¸o c¸o kinh tÕ - kü thuËt</v>
          </cell>
          <cell r="CI60" t="str">
            <v>(Gxl+Gtb) x 3,6%</v>
          </cell>
          <cell r="CJ60">
            <v>41016894.54545455</v>
          </cell>
        </row>
        <row r="61">
          <cell r="CA61">
            <v>15000000000</v>
          </cell>
          <cell r="CB61">
            <v>2.8</v>
          </cell>
          <cell r="CC61">
            <v>2.9</v>
          </cell>
          <cell r="CD61">
            <v>1.9</v>
          </cell>
          <cell r="CE61">
            <v>2.8</v>
          </cell>
          <cell r="CF61">
            <v>2.3</v>
          </cell>
        </row>
        <row r="62">
          <cell r="CA62">
            <v>9.99999999999999E+307</v>
          </cell>
          <cell r="CB62">
            <v>2.8</v>
          </cell>
          <cell r="CC62">
            <v>2.9</v>
          </cell>
          <cell r="CD62">
            <v>1.9</v>
          </cell>
          <cell r="CE62">
            <v>2.8</v>
          </cell>
          <cell r="CF62">
            <v>2.3</v>
          </cell>
        </row>
        <row r="63">
          <cell r="CA63">
            <v>1</v>
          </cell>
        </row>
        <row r="64">
          <cell r="CF64">
            <v>3.6</v>
          </cell>
        </row>
        <row r="66">
          <cell r="CI66" t="str">
            <v>Ch­a chän b­íc thiÕt kÕ</v>
          </cell>
          <cell r="CJ66" t="str">
            <v/>
          </cell>
          <cell r="CK66">
            <v>0</v>
          </cell>
        </row>
        <row r="67">
          <cell r="CI67" t="str">
            <v>Ch­a chän b­íc thiÕt kÕ</v>
          </cell>
          <cell r="CJ67" t="str">
            <v/>
          </cell>
          <cell r="CK67">
            <v>0</v>
          </cell>
        </row>
        <row r="74">
          <cell r="CA74">
            <v>0</v>
          </cell>
          <cell r="CB74">
            <v>0</v>
          </cell>
          <cell r="CC74">
            <v>0</v>
          </cell>
          <cell r="CD74">
            <v>2.36</v>
          </cell>
          <cell r="CE74">
            <v>2.12</v>
          </cell>
          <cell r="CF74">
            <v>1.88</v>
          </cell>
          <cell r="CH74">
            <v>0</v>
          </cell>
          <cell r="CI74">
            <v>0</v>
          </cell>
          <cell r="CJ74">
            <v>0</v>
          </cell>
          <cell r="CK74">
            <v>3.63</v>
          </cell>
          <cell r="CL74">
            <v>3.27</v>
          </cell>
          <cell r="CM74">
            <v>2.9</v>
          </cell>
        </row>
        <row r="75">
          <cell r="CA75">
            <v>7000000000</v>
          </cell>
          <cell r="CD75">
            <v>2.36</v>
          </cell>
          <cell r="CE75">
            <v>2.12</v>
          </cell>
          <cell r="CF75">
            <v>1.88</v>
          </cell>
          <cell r="CH75">
            <v>7000000000</v>
          </cell>
          <cell r="CK75">
            <v>3.63</v>
          </cell>
          <cell r="CL75">
            <v>3.27</v>
          </cell>
          <cell r="CM75">
            <v>2.9</v>
          </cell>
        </row>
        <row r="76">
          <cell r="CA76">
            <v>10000000000</v>
          </cell>
          <cell r="CB76">
            <v>2.74</v>
          </cell>
          <cell r="CC76">
            <v>2.48</v>
          </cell>
          <cell r="CD76">
            <v>2.25</v>
          </cell>
          <cell r="CE76">
            <v>2.03</v>
          </cell>
          <cell r="CF76">
            <v>1.8</v>
          </cell>
          <cell r="CH76">
            <v>10000000000</v>
          </cell>
          <cell r="CI76">
            <v>4.24</v>
          </cell>
          <cell r="CJ76">
            <v>3.84</v>
          </cell>
          <cell r="CK76">
            <v>3.48</v>
          </cell>
          <cell r="CL76">
            <v>3.15</v>
          </cell>
          <cell r="CM76">
            <v>2.78</v>
          </cell>
        </row>
        <row r="77">
          <cell r="CA77">
            <v>20000000000</v>
          </cell>
          <cell r="CB77">
            <v>2.38</v>
          </cell>
          <cell r="CC77">
            <v>2.17</v>
          </cell>
          <cell r="CD77">
            <v>1.96</v>
          </cell>
          <cell r="CE77">
            <v>1.76</v>
          </cell>
          <cell r="CF77">
            <v>1.57</v>
          </cell>
          <cell r="CH77">
            <v>20000000000</v>
          </cell>
          <cell r="CI77">
            <v>3.68</v>
          </cell>
          <cell r="CJ77">
            <v>3.36</v>
          </cell>
          <cell r="CK77">
            <v>3.01</v>
          </cell>
          <cell r="CL77">
            <v>2.73</v>
          </cell>
          <cell r="CM77">
            <v>2.43</v>
          </cell>
        </row>
        <row r="78">
          <cell r="CA78">
            <v>50000000000</v>
          </cell>
          <cell r="CB78">
            <v>2</v>
          </cell>
          <cell r="CC78">
            <v>1.82</v>
          </cell>
          <cell r="CD78">
            <v>1.66</v>
          </cell>
          <cell r="CE78">
            <v>1.48</v>
          </cell>
          <cell r="CF78">
            <v>1.23</v>
          </cell>
          <cell r="CH78">
            <v>50000000000</v>
          </cell>
          <cell r="CI78">
            <v>3.1</v>
          </cell>
          <cell r="CJ78">
            <v>2.82</v>
          </cell>
          <cell r="CK78">
            <v>2.54</v>
          </cell>
          <cell r="CL78">
            <v>2.29</v>
          </cell>
          <cell r="CM78">
            <v>1.91</v>
          </cell>
        </row>
        <row r="79">
          <cell r="CA79">
            <v>100000000000</v>
          </cell>
          <cell r="CB79">
            <v>1.82</v>
          </cell>
          <cell r="CC79">
            <v>1.64</v>
          </cell>
          <cell r="CD79">
            <v>1.51</v>
          </cell>
          <cell r="CE79">
            <v>1.34</v>
          </cell>
          <cell r="CF79">
            <v>1.04</v>
          </cell>
          <cell r="CH79">
            <v>100000000000</v>
          </cell>
          <cell r="CI79">
            <v>2.82</v>
          </cell>
          <cell r="CJ79">
            <v>2.54</v>
          </cell>
          <cell r="CK79">
            <v>2.29</v>
          </cell>
          <cell r="CL79">
            <v>2.08</v>
          </cell>
          <cell r="CM79">
            <v>1.62</v>
          </cell>
        </row>
        <row r="80">
          <cell r="CA80">
            <v>200000000000</v>
          </cell>
          <cell r="CB80">
            <v>1.66</v>
          </cell>
          <cell r="CC80">
            <v>1.51</v>
          </cell>
          <cell r="CD80">
            <v>1.37</v>
          </cell>
          <cell r="CE80">
            <v>1.23</v>
          </cell>
          <cell r="CF80">
            <v>0.88</v>
          </cell>
          <cell r="CH80">
            <v>200000000000</v>
          </cell>
          <cell r="CI80">
            <v>2.57</v>
          </cell>
          <cell r="CJ80">
            <v>2.34</v>
          </cell>
          <cell r="CK80">
            <v>2.1</v>
          </cell>
          <cell r="CL80">
            <v>1.9</v>
          </cell>
          <cell r="CM80">
            <v>1.37</v>
          </cell>
        </row>
        <row r="81">
          <cell r="CA81">
            <v>500000000000</v>
          </cell>
          <cell r="CB81">
            <v>1.4</v>
          </cell>
          <cell r="CC81">
            <v>1.27</v>
          </cell>
          <cell r="CD81">
            <v>1.16</v>
          </cell>
          <cell r="CE81">
            <v>1.04</v>
          </cell>
          <cell r="CF81">
            <v>0.75</v>
          </cell>
          <cell r="CH81">
            <v>500000000000</v>
          </cell>
          <cell r="CI81">
            <v>2.17</v>
          </cell>
          <cell r="CJ81">
            <v>1.96</v>
          </cell>
          <cell r="CK81">
            <v>1.79</v>
          </cell>
          <cell r="CL81">
            <v>1.62</v>
          </cell>
          <cell r="CM81">
            <v>1.16</v>
          </cell>
        </row>
        <row r="82">
          <cell r="CA82">
            <v>1000000000000</v>
          </cell>
          <cell r="CB82">
            <v>1.13</v>
          </cell>
          <cell r="CC82">
            <v>1.03</v>
          </cell>
          <cell r="CD82">
            <v>0.95</v>
          </cell>
          <cell r="CE82">
            <v>0.85</v>
          </cell>
          <cell r="CF82">
            <v>0.61</v>
          </cell>
          <cell r="CH82">
            <v>1000000000000</v>
          </cell>
          <cell r="CI82">
            <v>1.75</v>
          </cell>
          <cell r="CJ82">
            <v>1.59</v>
          </cell>
          <cell r="CK82">
            <v>1.45</v>
          </cell>
          <cell r="CL82">
            <v>1.31</v>
          </cell>
          <cell r="CM82">
            <v>0.95</v>
          </cell>
        </row>
        <row r="83">
          <cell r="CA83">
            <v>2000000000000</v>
          </cell>
          <cell r="CB83">
            <v>0.97</v>
          </cell>
          <cell r="CC83">
            <v>0.89</v>
          </cell>
          <cell r="CD83">
            <v>0.8</v>
          </cell>
          <cell r="CE83">
            <v>0.72</v>
          </cell>
          <cell r="CH83">
            <v>2000000000000</v>
          </cell>
          <cell r="CI83">
            <v>1.5</v>
          </cell>
          <cell r="CJ83">
            <v>1.38</v>
          </cell>
          <cell r="CK83">
            <v>1.24</v>
          </cell>
          <cell r="CL83">
            <v>1.11</v>
          </cell>
        </row>
        <row r="84">
          <cell r="CA84">
            <v>5000000000000</v>
          </cell>
          <cell r="CB84">
            <v>0.75</v>
          </cell>
          <cell r="CC84">
            <v>0.68</v>
          </cell>
          <cell r="CD84">
            <v>0.62</v>
          </cell>
          <cell r="CE84">
            <v>0.55</v>
          </cell>
          <cell r="CH84">
            <v>5000000000000</v>
          </cell>
          <cell r="CI84">
            <v>1.16</v>
          </cell>
          <cell r="CJ84">
            <v>1.05</v>
          </cell>
          <cell r="CK84">
            <v>0.96</v>
          </cell>
          <cell r="CL84">
            <v>0.86</v>
          </cell>
        </row>
        <row r="85">
          <cell r="CA85">
            <v>8000000000000</v>
          </cell>
          <cell r="CB85">
            <v>0.58</v>
          </cell>
          <cell r="CC85">
            <v>0.53</v>
          </cell>
          <cell r="CD85">
            <v>0.47</v>
          </cell>
          <cell r="CE85">
            <v>0.42</v>
          </cell>
          <cell r="CH85">
            <v>8000000000000</v>
          </cell>
          <cell r="CI85">
            <v>0.9</v>
          </cell>
          <cell r="CJ85">
            <v>0.82</v>
          </cell>
          <cell r="CK85">
            <v>0.73</v>
          </cell>
          <cell r="CL85">
            <v>0.65</v>
          </cell>
        </row>
        <row r="86">
          <cell r="CA86">
            <v>9.99999999999999E+307</v>
          </cell>
          <cell r="CB86">
            <v>0.58</v>
          </cell>
          <cell r="CC86">
            <v>0.53</v>
          </cell>
          <cell r="CD86">
            <v>0.47</v>
          </cell>
          <cell r="CE86">
            <v>0.42</v>
          </cell>
          <cell r="CF86">
            <v>0</v>
          </cell>
          <cell r="CH86">
            <v>9.99999999999999E+307</v>
          </cell>
          <cell r="CI86">
            <v>0.9</v>
          </cell>
          <cell r="CJ86">
            <v>0.82</v>
          </cell>
          <cell r="CK86">
            <v>0.73</v>
          </cell>
          <cell r="CL86">
            <v>0.65</v>
          </cell>
          <cell r="CM86">
            <v>0</v>
          </cell>
        </row>
        <row r="87">
          <cell r="CA87">
            <v>1</v>
          </cell>
          <cell r="CH87">
            <v>1</v>
          </cell>
        </row>
        <row r="96">
          <cell r="CA96">
            <v>0</v>
          </cell>
          <cell r="CB96">
            <v>0</v>
          </cell>
          <cell r="CC96">
            <v>0</v>
          </cell>
          <cell r="CD96">
            <v>1.99</v>
          </cell>
          <cell r="CE96">
            <v>1.73</v>
          </cell>
          <cell r="CF96">
            <v>1.54</v>
          </cell>
          <cell r="CH96">
            <v>0</v>
          </cell>
          <cell r="CI96">
            <v>0</v>
          </cell>
          <cell r="CJ96">
            <v>0</v>
          </cell>
          <cell r="CK96">
            <v>3.07</v>
          </cell>
          <cell r="CL96">
            <v>2.76</v>
          </cell>
          <cell r="CM96">
            <v>2.45</v>
          </cell>
          <cell r="CP96">
            <v>0</v>
          </cell>
          <cell r="CR96">
            <v>1.7</v>
          </cell>
          <cell r="CS96">
            <v>1.9</v>
          </cell>
          <cell r="CT96">
            <v>1.5</v>
          </cell>
          <cell r="CY96">
            <v>0</v>
          </cell>
          <cell r="DA96">
            <v>1.1</v>
          </cell>
          <cell r="DB96">
            <v>0.95</v>
          </cell>
          <cell r="DC96">
            <v>1.15</v>
          </cell>
          <cell r="DD96">
            <v>0</v>
          </cell>
          <cell r="DE96">
            <v>0.73</v>
          </cell>
        </row>
        <row r="97">
          <cell r="CA97">
            <v>7000000000</v>
          </cell>
          <cell r="CD97">
            <v>1.99</v>
          </cell>
          <cell r="CE97">
            <v>1.73</v>
          </cell>
          <cell r="CF97">
            <v>1.54</v>
          </cell>
          <cell r="CH97">
            <v>7000000000</v>
          </cell>
          <cell r="CK97">
            <v>3.07</v>
          </cell>
          <cell r="CL97">
            <v>2.76</v>
          </cell>
          <cell r="CM97">
            <v>2.45</v>
          </cell>
          <cell r="CP97">
            <v>5000000000</v>
          </cell>
          <cell r="CR97">
            <v>1.7</v>
          </cell>
          <cell r="CS97">
            <v>1.9</v>
          </cell>
          <cell r="CT97">
            <v>1.5</v>
          </cell>
          <cell r="CY97">
            <v>5000000000</v>
          </cell>
          <cell r="DA97">
            <v>1.1</v>
          </cell>
          <cell r="DB97">
            <v>0.95</v>
          </cell>
          <cell r="DC97">
            <v>1.15</v>
          </cell>
          <cell r="DE97">
            <v>0.73</v>
          </cell>
        </row>
        <row r="98">
          <cell r="CA98">
            <v>10000000000</v>
          </cell>
          <cell r="CB98">
            <v>2.79</v>
          </cell>
          <cell r="CC98">
            <v>2.33</v>
          </cell>
          <cell r="CD98">
            <v>1.94</v>
          </cell>
          <cell r="CE98">
            <v>1.69</v>
          </cell>
          <cell r="CF98">
            <v>1.5</v>
          </cell>
          <cell r="CH98">
            <v>10000000000</v>
          </cell>
          <cell r="CI98">
            <v>4.67</v>
          </cell>
          <cell r="CJ98">
            <v>3.73</v>
          </cell>
          <cell r="CK98">
            <v>2.99</v>
          </cell>
          <cell r="CL98">
            <v>2.69</v>
          </cell>
          <cell r="CM98">
            <v>2.39</v>
          </cell>
          <cell r="CP98">
            <v>15000000000</v>
          </cell>
          <cell r="CR98">
            <v>1.4</v>
          </cell>
          <cell r="CS98">
            <v>1.6</v>
          </cell>
          <cell r="CT98">
            <v>1.3</v>
          </cell>
          <cell r="CY98">
            <v>15000000000</v>
          </cell>
          <cell r="DA98">
            <v>1</v>
          </cell>
          <cell r="DB98">
            <v>0.85</v>
          </cell>
          <cell r="DC98">
            <v>1</v>
          </cell>
          <cell r="DE98">
            <v>0.65</v>
          </cell>
        </row>
        <row r="99">
          <cell r="CA99">
            <v>20000000000</v>
          </cell>
          <cell r="CB99">
            <v>2.58</v>
          </cell>
          <cell r="CC99">
            <v>2.15</v>
          </cell>
          <cell r="CD99">
            <v>1.79</v>
          </cell>
          <cell r="CE99">
            <v>1.56</v>
          </cell>
          <cell r="CF99">
            <v>1.39</v>
          </cell>
          <cell r="CH99">
            <v>20000000000</v>
          </cell>
          <cell r="CI99">
            <v>4.12</v>
          </cell>
          <cell r="CJ99">
            <v>3.44</v>
          </cell>
          <cell r="CK99">
            <v>2.76</v>
          </cell>
          <cell r="CL99">
            <v>2.49</v>
          </cell>
          <cell r="CM99">
            <v>2.21</v>
          </cell>
          <cell r="CP99">
            <v>25000000000</v>
          </cell>
          <cell r="CR99">
            <v>1.3</v>
          </cell>
          <cell r="CS99">
            <v>1.45</v>
          </cell>
          <cell r="CT99">
            <v>1.15</v>
          </cell>
          <cell r="CY99">
            <v>25000000000</v>
          </cell>
          <cell r="DA99">
            <v>0.9</v>
          </cell>
          <cell r="DB99">
            <v>0.8</v>
          </cell>
          <cell r="DC99">
            <v>0.95</v>
          </cell>
          <cell r="DE99">
            <v>0.56</v>
          </cell>
        </row>
        <row r="100">
          <cell r="CA100">
            <v>50000000000</v>
          </cell>
          <cell r="CB100">
            <v>2.21</v>
          </cell>
          <cell r="CC100">
            <v>1.83</v>
          </cell>
          <cell r="CD100">
            <v>1.53</v>
          </cell>
          <cell r="CE100">
            <v>1.32</v>
          </cell>
          <cell r="CF100">
            <v>1.17</v>
          </cell>
          <cell r="CH100">
            <v>50000000000</v>
          </cell>
          <cell r="CI100">
            <v>3.53</v>
          </cell>
          <cell r="CJ100">
            <v>2.92</v>
          </cell>
          <cell r="CK100">
            <v>2.35</v>
          </cell>
          <cell r="CL100">
            <v>2.11</v>
          </cell>
          <cell r="CM100">
            <v>1.87</v>
          </cell>
          <cell r="CP100">
            <v>50000000000</v>
          </cell>
          <cell r="CR100">
            <v>1.2</v>
          </cell>
          <cell r="CS100">
            <v>1.3</v>
          </cell>
          <cell r="CT100">
            <v>1.05</v>
          </cell>
          <cell r="CY100">
            <v>50000000000</v>
          </cell>
          <cell r="DA100">
            <v>0.85</v>
          </cell>
          <cell r="DB100">
            <v>0.75</v>
          </cell>
          <cell r="DC100">
            <v>0.9</v>
          </cell>
          <cell r="DD100">
            <v>1.15</v>
          </cell>
          <cell r="DE100">
            <v>0.51</v>
          </cell>
        </row>
        <row r="101">
          <cell r="CA101">
            <v>100000000000</v>
          </cell>
          <cell r="CB101">
            <v>2.01</v>
          </cell>
          <cell r="CC101">
            <v>1.67</v>
          </cell>
          <cell r="CD101">
            <v>1.39</v>
          </cell>
          <cell r="CE101">
            <v>1.2</v>
          </cell>
          <cell r="CF101">
            <v>1.08</v>
          </cell>
          <cell r="CH101">
            <v>100000000000</v>
          </cell>
          <cell r="CI101">
            <v>3.21</v>
          </cell>
          <cell r="CJ101">
            <v>2.67</v>
          </cell>
          <cell r="CK101">
            <v>2.15</v>
          </cell>
          <cell r="CL101">
            <v>1.92</v>
          </cell>
          <cell r="CM101">
            <v>1.72</v>
          </cell>
          <cell r="CP101">
            <v>100000000000</v>
          </cell>
          <cell r="CR101">
            <v>1.1</v>
          </cell>
          <cell r="CS101">
            <v>1.2</v>
          </cell>
          <cell r="CT101">
            <v>0.95</v>
          </cell>
          <cell r="CY101">
            <v>100000000000</v>
          </cell>
          <cell r="DA101">
            <v>0.8</v>
          </cell>
          <cell r="DB101">
            <v>0.7</v>
          </cell>
          <cell r="DC101">
            <v>0.8</v>
          </cell>
          <cell r="DD101">
            <v>1.1</v>
          </cell>
          <cell r="DE101">
            <v>0.48</v>
          </cell>
        </row>
        <row r="102">
          <cell r="CA102">
            <v>200000000000</v>
          </cell>
          <cell r="CB102">
            <v>1.82</v>
          </cell>
          <cell r="CC102">
            <v>1.51</v>
          </cell>
          <cell r="CD102">
            <v>1.26</v>
          </cell>
          <cell r="CE102">
            <v>1.1</v>
          </cell>
          <cell r="CF102">
            <v>0.92</v>
          </cell>
          <cell r="CH102">
            <v>200000000000</v>
          </cell>
          <cell r="CI102">
            <v>2.91</v>
          </cell>
          <cell r="CJ102">
            <v>2.41</v>
          </cell>
          <cell r="CK102">
            <v>1.94</v>
          </cell>
          <cell r="CL102">
            <v>1.75</v>
          </cell>
          <cell r="CM102">
            <v>1.46</v>
          </cell>
          <cell r="CP102">
            <v>200000000000</v>
          </cell>
          <cell r="CR102">
            <v>0.95</v>
          </cell>
          <cell r="CS102">
            <v>1.05</v>
          </cell>
          <cell r="CT102">
            <v>0.85</v>
          </cell>
          <cell r="CY102">
            <v>200000000000</v>
          </cell>
          <cell r="DA102">
            <v>0.7</v>
          </cell>
          <cell r="DB102">
            <v>0.6</v>
          </cell>
          <cell r="DC102">
            <v>0.75</v>
          </cell>
          <cell r="DD102">
            <v>1.05</v>
          </cell>
          <cell r="DE102">
            <v>0.42</v>
          </cell>
        </row>
        <row r="103">
          <cell r="CA103">
            <v>500000000000</v>
          </cell>
          <cell r="CB103">
            <v>1.66</v>
          </cell>
          <cell r="CC103">
            <v>1.38</v>
          </cell>
          <cell r="CD103">
            <v>1.15</v>
          </cell>
          <cell r="CE103">
            <v>1.01</v>
          </cell>
          <cell r="CF103">
            <v>0.78</v>
          </cell>
          <cell r="CH103">
            <v>500000000000</v>
          </cell>
          <cell r="CI103">
            <v>2.65</v>
          </cell>
          <cell r="CJ103">
            <v>2.2</v>
          </cell>
          <cell r="CK103">
            <v>1.77</v>
          </cell>
          <cell r="CL103">
            <v>1.61</v>
          </cell>
          <cell r="CM103">
            <v>1.24</v>
          </cell>
          <cell r="CP103">
            <v>500000000000</v>
          </cell>
          <cell r="CR103">
            <v>0.85</v>
          </cell>
          <cell r="CS103">
            <v>0.95</v>
          </cell>
          <cell r="CT103">
            <v>0.75</v>
          </cell>
          <cell r="CV103" t="str">
            <v/>
          </cell>
          <cell r="CW103" t="str">
            <v/>
          </cell>
          <cell r="CX103">
            <v>0</v>
          </cell>
          <cell r="CY103">
            <v>500000000000</v>
          </cell>
          <cell r="DA103">
            <v>0.6</v>
          </cell>
          <cell r="DB103">
            <v>0.55</v>
          </cell>
          <cell r="DC103">
            <v>0.65</v>
          </cell>
          <cell r="DD103">
            <v>1.01</v>
          </cell>
          <cell r="DE103">
            <v>0.37</v>
          </cell>
          <cell r="DM103" t="str">
            <v/>
          </cell>
          <cell r="DN103" t="str">
            <v/>
          </cell>
          <cell r="DO103">
            <v>0</v>
          </cell>
        </row>
        <row r="104">
          <cell r="CA104">
            <v>1000000000000</v>
          </cell>
          <cell r="CB104">
            <v>1.45</v>
          </cell>
          <cell r="CC104">
            <v>1.21</v>
          </cell>
          <cell r="CD104">
            <v>1.01</v>
          </cell>
          <cell r="CE104">
            <v>0.9</v>
          </cell>
          <cell r="CF104">
            <v>0.67</v>
          </cell>
          <cell r="CH104">
            <v>1000000000000</v>
          </cell>
          <cell r="CI104">
            <v>2.32</v>
          </cell>
          <cell r="CJ104">
            <v>1.93</v>
          </cell>
          <cell r="CK104">
            <v>1.55</v>
          </cell>
          <cell r="CL104">
            <v>1.44</v>
          </cell>
          <cell r="CM104">
            <v>1.06</v>
          </cell>
          <cell r="CP104">
            <v>9.99999999999999E+307</v>
          </cell>
          <cell r="CR104">
            <v>0.85</v>
          </cell>
          <cell r="CS104">
            <v>0.95</v>
          </cell>
          <cell r="CT104">
            <v>0.75</v>
          </cell>
          <cell r="CY104">
            <v>1000000000000</v>
          </cell>
          <cell r="DA104">
            <v>0.55</v>
          </cell>
          <cell r="DB104">
            <v>0.5</v>
          </cell>
          <cell r="DC104">
            <v>0.6</v>
          </cell>
          <cell r="DD104">
            <v>0.96</v>
          </cell>
          <cell r="DE104">
            <v>0.34</v>
          </cell>
        </row>
        <row r="105">
          <cell r="CA105">
            <v>2000000000000</v>
          </cell>
          <cell r="CB105">
            <v>1.23</v>
          </cell>
          <cell r="CC105">
            <v>1.03</v>
          </cell>
          <cell r="CD105">
            <v>0.86</v>
          </cell>
          <cell r="CE105">
            <v>0.77</v>
          </cell>
          <cell r="CH105">
            <v>2000000000000</v>
          </cell>
          <cell r="CI105">
            <v>1.96</v>
          </cell>
          <cell r="CJ105">
            <v>1.64</v>
          </cell>
          <cell r="CK105">
            <v>1.32</v>
          </cell>
          <cell r="CL105">
            <v>1.22</v>
          </cell>
          <cell r="CP105">
            <v>1</v>
          </cell>
          <cell r="CY105">
            <v>3000000000000</v>
          </cell>
          <cell r="DA105">
            <v>0.45</v>
          </cell>
          <cell r="DB105">
            <v>0.4</v>
          </cell>
          <cell r="DC105">
            <v>0.5</v>
          </cell>
          <cell r="DD105">
            <v>0.8</v>
          </cell>
          <cell r="DE105">
            <v>0.3</v>
          </cell>
        </row>
        <row r="106">
          <cell r="CA106">
            <v>5000000000000</v>
          </cell>
          <cell r="CB106">
            <v>0.95</v>
          </cell>
          <cell r="CC106">
            <v>0.79</v>
          </cell>
          <cell r="CD106">
            <v>0.66</v>
          </cell>
          <cell r="CE106">
            <v>0.59</v>
          </cell>
          <cell r="CH106">
            <v>5000000000000</v>
          </cell>
          <cell r="CI106">
            <v>1.52</v>
          </cell>
          <cell r="CJ106">
            <v>1.26</v>
          </cell>
          <cell r="CK106">
            <v>1.02</v>
          </cell>
          <cell r="CL106">
            <v>0.94</v>
          </cell>
          <cell r="CY106">
            <v>9.99999999999999E+307</v>
          </cell>
          <cell r="DA106">
            <v>0.45</v>
          </cell>
          <cell r="DB106">
            <v>0.4</v>
          </cell>
          <cell r="DC106">
            <v>0.5</v>
          </cell>
          <cell r="DD106">
            <v>0.8</v>
          </cell>
          <cell r="DE106">
            <v>0.3</v>
          </cell>
        </row>
        <row r="107">
          <cell r="CA107">
            <v>8000000000000</v>
          </cell>
          <cell r="CB107">
            <v>0.73</v>
          </cell>
          <cell r="CC107">
            <v>0.61</v>
          </cell>
          <cell r="CD107">
            <v>0.51</v>
          </cell>
          <cell r="CE107">
            <v>0.46</v>
          </cell>
          <cell r="CH107">
            <v>8000000000000</v>
          </cell>
          <cell r="CI107">
            <v>1.16</v>
          </cell>
          <cell r="CJ107">
            <v>0.97</v>
          </cell>
          <cell r="CK107">
            <v>0.78</v>
          </cell>
          <cell r="CL107">
            <v>0.72</v>
          </cell>
          <cell r="CY107">
            <v>1</v>
          </cell>
        </row>
        <row r="108">
          <cell r="CA108">
            <v>9.99999999999999E+307</v>
          </cell>
          <cell r="CB108">
            <v>0.73</v>
          </cell>
          <cell r="CC108">
            <v>0.61</v>
          </cell>
          <cell r="CD108">
            <v>0.51</v>
          </cell>
          <cell r="CE108">
            <v>0.46</v>
          </cell>
          <cell r="CF108">
            <v>0</v>
          </cell>
          <cell r="CH108">
            <v>9.99999999999999E+307</v>
          </cell>
          <cell r="CI108">
            <v>1.16</v>
          </cell>
          <cell r="CJ108">
            <v>0.97</v>
          </cell>
          <cell r="CK108">
            <v>0.78</v>
          </cell>
          <cell r="CL108">
            <v>0.72</v>
          </cell>
          <cell r="CM108">
            <v>0</v>
          </cell>
        </row>
        <row r="109">
          <cell r="CA109">
            <v>1</v>
          </cell>
          <cell r="CH109">
            <v>1</v>
          </cell>
        </row>
        <row r="118">
          <cell r="CA118">
            <v>0</v>
          </cell>
          <cell r="CB118">
            <v>0</v>
          </cell>
          <cell r="CC118">
            <v>0</v>
          </cell>
          <cell r="CD118">
            <v>1.04</v>
          </cell>
          <cell r="CE118">
            <v>0.95</v>
          </cell>
          <cell r="CF118">
            <v>0.85</v>
          </cell>
          <cell r="CH118">
            <v>0</v>
          </cell>
          <cell r="CI118">
            <v>0</v>
          </cell>
          <cell r="CJ118">
            <v>0</v>
          </cell>
          <cell r="CK118">
            <v>1.61</v>
          </cell>
          <cell r="CL118">
            <v>1.46</v>
          </cell>
          <cell r="CM118">
            <v>1.31</v>
          </cell>
        </row>
        <row r="119">
          <cell r="CA119">
            <v>7000000000</v>
          </cell>
          <cell r="CD119">
            <v>1.04</v>
          </cell>
          <cell r="CE119">
            <v>0.95</v>
          </cell>
          <cell r="CF119">
            <v>0.85</v>
          </cell>
          <cell r="CH119">
            <v>7000000000</v>
          </cell>
          <cell r="CK119">
            <v>1.61</v>
          </cell>
          <cell r="CL119">
            <v>1.46</v>
          </cell>
          <cell r="CM119">
            <v>1.31</v>
          </cell>
        </row>
        <row r="120">
          <cell r="CA120">
            <v>10000000000</v>
          </cell>
          <cell r="CB120">
            <v>1.81</v>
          </cell>
          <cell r="CC120">
            <v>1.11</v>
          </cell>
          <cell r="CD120">
            <v>1.01</v>
          </cell>
          <cell r="CE120">
            <v>0.92</v>
          </cell>
          <cell r="CF120">
            <v>0.83</v>
          </cell>
          <cell r="CH120">
            <v>10000000000</v>
          </cell>
          <cell r="CI120">
            <v>2.8</v>
          </cell>
          <cell r="CJ120">
            <v>2.72</v>
          </cell>
          <cell r="CK120">
            <v>1.57</v>
          </cell>
          <cell r="CL120">
            <v>1.42</v>
          </cell>
          <cell r="CM120">
            <v>1.28</v>
          </cell>
        </row>
        <row r="121">
          <cell r="CA121">
            <v>20000000000</v>
          </cell>
          <cell r="CB121">
            <v>1.67</v>
          </cell>
          <cell r="CC121">
            <v>1.05</v>
          </cell>
          <cell r="CD121">
            <v>0.94</v>
          </cell>
          <cell r="CE121">
            <v>0.85</v>
          </cell>
          <cell r="CF121">
            <v>0.76</v>
          </cell>
          <cell r="CH121">
            <v>20000000000</v>
          </cell>
          <cell r="CI121">
            <v>2.58</v>
          </cell>
          <cell r="CJ121">
            <v>2.15</v>
          </cell>
          <cell r="CK121">
            <v>1.45</v>
          </cell>
          <cell r="CL121">
            <v>1.31</v>
          </cell>
          <cell r="CM121">
            <v>1.18</v>
          </cell>
        </row>
        <row r="122">
          <cell r="CA122">
            <v>50000000000</v>
          </cell>
          <cell r="CB122">
            <v>1.46</v>
          </cell>
          <cell r="CC122">
            <v>0.87</v>
          </cell>
          <cell r="CD122">
            <v>0.8</v>
          </cell>
          <cell r="CE122">
            <v>0.73</v>
          </cell>
          <cell r="CF122">
            <v>0.66</v>
          </cell>
          <cell r="CH122">
            <v>50000000000</v>
          </cell>
          <cell r="CI122">
            <v>2.21</v>
          </cell>
          <cell r="CJ122">
            <v>1.83</v>
          </cell>
          <cell r="CK122">
            <v>1.23</v>
          </cell>
          <cell r="CL122">
            <v>1.13</v>
          </cell>
          <cell r="CM122">
            <v>1.01</v>
          </cell>
        </row>
        <row r="123">
          <cell r="CA123">
            <v>100000000000</v>
          </cell>
          <cell r="CB123">
            <v>1.26</v>
          </cell>
          <cell r="CC123">
            <v>0.81</v>
          </cell>
          <cell r="CD123">
            <v>0.73</v>
          </cell>
          <cell r="CE123">
            <v>0.67</v>
          </cell>
          <cell r="CF123">
            <v>0.6</v>
          </cell>
          <cell r="CH123">
            <v>100000000000</v>
          </cell>
          <cell r="CI123">
            <v>2.01</v>
          </cell>
          <cell r="CJ123">
            <v>1.67</v>
          </cell>
          <cell r="CK123">
            <v>1.12</v>
          </cell>
          <cell r="CL123">
            <v>1.03</v>
          </cell>
          <cell r="CM123">
            <v>0.92</v>
          </cell>
        </row>
        <row r="124">
          <cell r="CA124">
            <v>200000000000</v>
          </cell>
          <cell r="CB124">
            <v>1.145</v>
          </cell>
          <cell r="CC124">
            <v>0.73</v>
          </cell>
          <cell r="CD124">
            <v>0.67</v>
          </cell>
          <cell r="CE124">
            <v>0.61</v>
          </cell>
          <cell r="CF124">
            <v>0.51</v>
          </cell>
          <cell r="CH124">
            <v>200000000000</v>
          </cell>
          <cell r="CI124">
            <v>1.82</v>
          </cell>
          <cell r="CJ124">
            <v>1.51</v>
          </cell>
          <cell r="CK124">
            <v>1.03</v>
          </cell>
          <cell r="CL124">
            <v>0.92</v>
          </cell>
          <cell r="CM124">
            <v>0.78</v>
          </cell>
        </row>
        <row r="125">
          <cell r="CA125">
            <v>500000000000</v>
          </cell>
          <cell r="CB125">
            <v>1.06</v>
          </cell>
          <cell r="CC125">
            <v>0.67</v>
          </cell>
          <cell r="CD125">
            <v>0.61</v>
          </cell>
          <cell r="CE125">
            <v>0.5</v>
          </cell>
          <cell r="CF125">
            <v>0.43</v>
          </cell>
          <cell r="CH125">
            <v>500000000000</v>
          </cell>
          <cell r="CI125">
            <v>1.66</v>
          </cell>
          <cell r="CJ125">
            <v>1.38</v>
          </cell>
          <cell r="CK125">
            <v>0.93</v>
          </cell>
          <cell r="CL125">
            <v>0.77</v>
          </cell>
          <cell r="CM125">
            <v>0.66</v>
          </cell>
        </row>
        <row r="126">
          <cell r="CA126">
            <v>1000000000000</v>
          </cell>
          <cell r="CB126">
            <v>0.91</v>
          </cell>
          <cell r="CC126">
            <v>0.57</v>
          </cell>
          <cell r="CD126">
            <v>0.52</v>
          </cell>
          <cell r="CE126">
            <v>0.42</v>
          </cell>
          <cell r="CF126">
            <v>0.37</v>
          </cell>
          <cell r="CH126">
            <v>1000000000000</v>
          </cell>
          <cell r="CI126">
            <v>1.45</v>
          </cell>
          <cell r="CJ126">
            <v>1.21</v>
          </cell>
          <cell r="CK126">
            <v>0.79</v>
          </cell>
          <cell r="CL126">
            <v>0.65</v>
          </cell>
          <cell r="CM126">
            <v>0.57</v>
          </cell>
        </row>
        <row r="127">
          <cell r="CA127">
            <v>2000000000000</v>
          </cell>
          <cell r="CB127">
            <v>0.76</v>
          </cell>
          <cell r="CC127">
            <v>0.48</v>
          </cell>
          <cell r="CD127">
            <v>0.44</v>
          </cell>
          <cell r="CE127">
            <v>0.24</v>
          </cell>
          <cell r="CF127">
            <v>0.31</v>
          </cell>
          <cell r="CH127">
            <v>2000000000000</v>
          </cell>
          <cell r="CI127">
            <v>1.23</v>
          </cell>
          <cell r="CJ127">
            <v>1.03</v>
          </cell>
          <cell r="CK127">
            <v>0.67</v>
          </cell>
          <cell r="CL127">
            <v>0.55</v>
          </cell>
          <cell r="CM127">
            <v>0.48</v>
          </cell>
        </row>
        <row r="128">
          <cell r="CA128">
            <v>5000000000000</v>
          </cell>
          <cell r="CB128">
            <v>0.58</v>
          </cell>
          <cell r="CC128">
            <v>0.37</v>
          </cell>
          <cell r="CD128">
            <v>0.34</v>
          </cell>
          <cell r="CE128">
            <v>0.28</v>
          </cell>
          <cell r="CF128">
            <v>0.24</v>
          </cell>
          <cell r="CH128">
            <v>5000000000000</v>
          </cell>
          <cell r="CI128">
            <v>0.95</v>
          </cell>
          <cell r="CJ128">
            <v>0.79</v>
          </cell>
          <cell r="CK128">
            <v>0.52</v>
          </cell>
          <cell r="CL128">
            <v>0.42</v>
          </cell>
          <cell r="CM128">
            <v>0.37</v>
          </cell>
        </row>
        <row r="129">
          <cell r="CA129">
            <v>8000000000000</v>
          </cell>
          <cell r="CB129">
            <v>0.44</v>
          </cell>
          <cell r="CC129">
            <v>0.8</v>
          </cell>
          <cell r="CD129">
            <v>0.26</v>
          </cell>
          <cell r="CE129">
            <v>0.21</v>
          </cell>
          <cell r="CH129">
            <v>8000000000000</v>
          </cell>
          <cell r="CI129">
            <v>0.73</v>
          </cell>
          <cell r="CJ129">
            <v>0.61</v>
          </cell>
          <cell r="CK129">
            <v>0.4</v>
          </cell>
          <cell r="CL129">
            <v>0.32</v>
          </cell>
        </row>
        <row r="130">
          <cell r="CA130">
            <v>9.99999999999999E+307</v>
          </cell>
          <cell r="CB130">
            <v>0.44</v>
          </cell>
          <cell r="CC130">
            <v>0.8</v>
          </cell>
          <cell r="CD130">
            <v>0.26</v>
          </cell>
          <cell r="CE130">
            <v>0.21</v>
          </cell>
          <cell r="CF130">
            <v>0</v>
          </cell>
          <cell r="CH130">
            <v>9.99999999999999E+307</v>
          </cell>
          <cell r="CI130">
            <v>0.73</v>
          </cell>
          <cell r="CJ130">
            <v>0.61</v>
          </cell>
          <cell r="CK130">
            <v>0.4</v>
          </cell>
          <cell r="CL130">
            <v>0.32</v>
          </cell>
          <cell r="CM130">
            <v>0</v>
          </cell>
        </row>
        <row r="131">
          <cell r="CA131">
            <v>1</v>
          </cell>
          <cell r="CH131">
            <v>1</v>
          </cell>
        </row>
        <row r="140">
          <cell r="CA140">
            <v>0</v>
          </cell>
          <cell r="CB140">
            <v>0</v>
          </cell>
          <cell r="CC140">
            <v>0</v>
          </cell>
          <cell r="CD140">
            <v>2.22</v>
          </cell>
          <cell r="CE140">
            <v>2.01</v>
          </cell>
          <cell r="CF140">
            <v>1.77</v>
          </cell>
          <cell r="CH140">
            <v>0</v>
          </cell>
          <cell r="CI140">
            <v>0</v>
          </cell>
          <cell r="CJ140">
            <v>0</v>
          </cell>
          <cell r="CK140">
            <v>3.42</v>
          </cell>
          <cell r="CL140">
            <v>3.11</v>
          </cell>
          <cell r="CM140">
            <v>2.74</v>
          </cell>
        </row>
        <row r="141">
          <cell r="CA141">
            <v>7000000000</v>
          </cell>
          <cell r="CD141">
            <v>2.22</v>
          </cell>
          <cell r="CE141">
            <v>2.01</v>
          </cell>
          <cell r="CF141">
            <v>1.77</v>
          </cell>
          <cell r="CH141">
            <v>7000000000</v>
          </cell>
          <cell r="CK141">
            <v>3.42</v>
          </cell>
          <cell r="CL141">
            <v>3.11</v>
          </cell>
          <cell r="CM141">
            <v>2.74</v>
          </cell>
        </row>
        <row r="142">
          <cell r="CA142">
            <v>10000000000</v>
          </cell>
          <cell r="CB142">
            <v>2.59</v>
          </cell>
          <cell r="CC142">
            <v>2.35</v>
          </cell>
          <cell r="CD142">
            <v>2.13</v>
          </cell>
          <cell r="CE142">
            <v>1.93</v>
          </cell>
          <cell r="CF142">
            <v>1.7</v>
          </cell>
          <cell r="CH142">
            <v>10000000000</v>
          </cell>
          <cell r="CI142">
            <v>4.01</v>
          </cell>
          <cell r="CJ142">
            <v>3.64</v>
          </cell>
          <cell r="CK142">
            <v>3.29</v>
          </cell>
          <cell r="CL142">
            <v>2.98</v>
          </cell>
          <cell r="CM142">
            <v>2.63</v>
          </cell>
        </row>
        <row r="143">
          <cell r="CA143">
            <v>20000000000</v>
          </cell>
          <cell r="CB143">
            <v>2.25</v>
          </cell>
          <cell r="CC143">
            <v>2.05</v>
          </cell>
          <cell r="CD143">
            <v>1.86</v>
          </cell>
          <cell r="CE143">
            <v>1.67</v>
          </cell>
          <cell r="CF143">
            <v>1.49</v>
          </cell>
          <cell r="CH143">
            <v>20000000000</v>
          </cell>
          <cell r="CI143">
            <v>3.48</v>
          </cell>
          <cell r="CJ143">
            <v>3.17</v>
          </cell>
          <cell r="CK143">
            <v>2.87</v>
          </cell>
          <cell r="CL143">
            <v>2.58</v>
          </cell>
          <cell r="CM143">
            <v>2.31</v>
          </cell>
        </row>
        <row r="144">
          <cell r="CA144">
            <v>50000000000</v>
          </cell>
          <cell r="CB144">
            <v>1.91</v>
          </cell>
          <cell r="CC144">
            <v>1.73</v>
          </cell>
          <cell r="CD144">
            <v>1.57</v>
          </cell>
          <cell r="CE144">
            <v>1.4</v>
          </cell>
          <cell r="CF144">
            <v>1.1</v>
          </cell>
          <cell r="CH144">
            <v>50000000000</v>
          </cell>
          <cell r="CI144">
            <v>2.96</v>
          </cell>
          <cell r="CJ144">
            <v>2.68</v>
          </cell>
          <cell r="CK144">
            <v>2.41</v>
          </cell>
          <cell r="CL144">
            <v>2.16</v>
          </cell>
          <cell r="CM144">
            <v>1.7</v>
          </cell>
        </row>
        <row r="145">
          <cell r="CA145">
            <v>100000000000</v>
          </cell>
          <cell r="CB145">
            <v>1.72</v>
          </cell>
          <cell r="CC145">
            <v>1.55</v>
          </cell>
          <cell r="CD145">
            <v>1.42</v>
          </cell>
          <cell r="CE145">
            <v>1.27</v>
          </cell>
          <cell r="CF145">
            <v>0.93</v>
          </cell>
          <cell r="CH145">
            <v>100000000000</v>
          </cell>
          <cell r="CI145">
            <v>2.66</v>
          </cell>
          <cell r="CJ145">
            <v>2.4</v>
          </cell>
          <cell r="CK145">
            <v>2.19</v>
          </cell>
          <cell r="CL145">
            <v>1.96</v>
          </cell>
          <cell r="CM145">
            <v>1.44</v>
          </cell>
        </row>
        <row r="146">
          <cell r="CA146">
            <v>200000000000</v>
          </cell>
          <cell r="CB146">
            <v>1.57</v>
          </cell>
          <cell r="CC146">
            <v>1.43</v>
          </cell>
          <cell r="CD146">
            <v>1.31</v>
          </cell>
          <cell r="CE146">
            <v>1.08</v>
          </cell>
          <cell r="CF146">
            <v>0.8</v>
          </cell>
          <cell r="CH146">
            <v>200000000000</v>
          </cell>
          <cell r="CI146">
            <v>2.43</v>
          </cell>
          <cell r="CJ146">
            <v>2.21</v>
          </cell>
          <cell r="CK146">
            <v>2.01</v>
          </cell>
          <cell r="CL146">
            <v>1.67</v>
          </cell>
          <cell r="CM146">
            <v>1.23</v>
          </cell>
        </row>
        <row r="147">
          <cell r="CA147">
            <v>500000000000</v>
          </cell>
          <cell r="CB147">
            <v>1.34</v>
          </cell>
          <cell r="CC147">
            <v>1.21</v>
          </cell>
          <cell r="CD147">
            <v>1.06</v>
          </cell>
          <cell r="CE147">
            <v>0.92</v>
          </cell>
          <cell r="CF147">
            <v>0.67</v>
          </cell>
          <cell r="CH147">
            <v>500000000000</v>
          </cell>
          <cell r="CI147">
            <v>2.07</v>
          </cell>
          <cell r="CJ147">
            <v>1.87</v>
          </cell>
          <cell r="CK147">
            <v>1.62</v>
          </cell>
          <cell r="CL147">
            <v>1.42</v>
          </cell>
          <cell r="CM147">
            <v>1.04</v>
          </cell>
        </row>
        <row r="148">
          <cell r="CA148">
            <v>1000000000000</v>
          </cell>
          <cell r="CB148">
            <v>1.13</v>
          </cell>
          <cell r="CC148">
            <v>1.02</v>
          </cell>
          <cell r="CD148">
            <v>0.91</v>
          </cell>
          <cell r="CE148">
            <v>0.78</v>
          </cell>
          <cell r="CF148">
            <v>0.58</v>
          </cell>
          <cell r="CH148">
            <v>1000000000000</v>
          </cell>
          <cell r="CI148">
            <v>1.75</v>
          </cell>
          <cell r="CJ148">
            <v>1.58</v>
          </cell>
          <cell r="CK148">
            <v>1.38</v>
          </cell>
          <cell r="CL148">
            <v>1.21</v>
          </cell>
          <cell r="CM148">
            <v>0.89</v>
          </cell>
        </row>
        <row r="149">
          <cell r="CA149">
            <v>2000000000000</v>
          </cell>
          <cell r="CB149">
            <v>0.96</v>
          </cell>
          <cell r="CC149">
            <v>0.87</v>
          </cell>
          <cell r="CD149">
            <v>0.76</v>
          </cell>
          <cell r="CE149">
            <v>0.67</v>
          </cell>
          <cell r="CF149">
            <v>0.49</v>
          </cell>
          <cell r="CH149">
            <v>2000000000000</v>
          </cell>
          <cell r="CI149">
            <v>1.48</v>
          </cell>
          <cell r="CJ149">
            <v>1.34</v>
          </cell>
          <cell r="CK149">
            <v>1.17</v>
          </cell>
          <cell r="CL149">
            <v>1.03</v>
          </cell>
          <cell r="CM149">
            <v>0.75</v>
          </cell>
        </row>
        <row r="150">
          <cell r="CA150">
            <v>5000000000000</v>
          </cell>
          <cell r="CB150">
            <v>0.74</v>
          </cell>
          <cell r="CC150">
            <v>0.67</v>
          </cell>
          <cell r="CD150">
            <v>0.58</v>
          </cell>
          <cell r="CE150">
            <v>0.51</v>
          </cell>
          <cell r="CF150">
            <v>0.38</v>
          </cell>
          <cell r="CH150">
            <v>5000000000000</v>
          </cell>
          <cell r="CI150">
            <v>1.14</v>
          </cell>
          <cell r="CJ150">
            <v>1.03</v>
          </cell>
          <cell r="CK150">
            <v>0.9</v>
          </cell>
          <cell r="CL150">
            <v>0.79</v>
          </cell>
          <cell r="CM150">
            <v>0.58</v>
          </cell>
        </row>
        <row r="151">
          <cell r="CA151">
            <v>8000000000000</v>
          </cell>
          <cell r="CB151">
            <v>0.57</v>
          </cell>
          <cell r="CC151">
            <v>0.51</v>
          </cell>
          <cell r="CD151">
            <v>0.45</v>
          </cell>
          <cell r="CE151">
            <v>0.4</v>
          </cell>
          <cell r="CH151">
            <v>8000000000000</v>
          </cell>
          <cell r="CI151">
            <v>0.88</v>
          </cell>
          <cell r="CJ151">
            <v>0.79</v>
          </cell>
          <cell r="CK151">
            <v>0.51</v>
          </cell>
          <cell r="CL151">
            <v>0.46</v>
          </cell>
        </row>
        <row r="152">
          <cell r="CA152">
            <v>9.99999999999999E+307</v>
          </cell>
          <cell r="CB152">
            <v>0.57</v>
          </cell>
          <cell r="CC152">
            <v>0.51</v>
          </cell>
          <cell r="CD152">
            <v>0.45</v>
          </cell>
          <cell r="CE152">
            <v>0.4</v>
          </cell>
          <cell r="CF152">
            <v>0</v>
          </cell>
          <cell r="CH152">
            <v>9.99999999999999E+307</v>
          </cell>
          <cell r="CI152">
            <v>0.88</v>
          </cell>
          <cell r="CJ152">
            <v>0.79</v>
          </cell>
          <cell r="CK152">
            <v>0.51</v>
          </cell>
          <cell r="CL152">
            <v>0.46</v>
          </cell>
          <cell r="CM152">
            <v>0</v>
          </cell>
        </row>
        <row r="153">
          <cell r="CA153">
            <v>1</v>
          </cell>
          <cell r="CH153">
            <v>1</v>
          </cell>
        </row>
        <row r="162">
          <cell r="CA162">
            <v>0</v>
          </cell>
          <cell r="CB162">
            <v>0</v>
          </cell>
          <cell r="CC162">
            <v>0</v>
          </cell>
          <cell r="CD162">
            <v>1.68</v>
          </cell>
          <cell r="CE162">
            <v>1.5</v>
          </cell>
          <cell r="CF162">
            <v>1.34</v>
          </cell>
          <cell r="CH162">
            <v>0</v>
          </cell>
          <cell r="CI162">
            <v>0</v>
          </cell>
          <cell r="CJ162">
            <v>0</v>
          </cell>
          <cell r="CK162">
            <v>2.58</v>
          </cell>
          <cell r="CL162">
            <v>2.32</v>
          </cell>
          <cell r="CM162">
            <v>2.07</v>
          </cell>
          <cell r="CP162">
            <v>0</v>
          </cell>
          <cell r="CR162">
            <v>1.83</v>
          </cell>
          <cell r="CS162">
            <v>1.9</v>
          </cell>
          <cell r="CT162">
            <v>2.1</v>
          </cell>
          <cell r="DA162">
            <v>0</v>
          </cell>
          <cell r="DC162">
            <v>1</v>
          </cell>
          <cell r="DD162">
            <v>0.9</v>
          </cell>
          <cell r="DE162">
            <v>1.35</v>
          </cell>
        </row>
        <row r="163">
          <cell r="CA163">
            <v>7000000000</v>
          </cell>
          <cell r="CD163">
            <v>1.68</v>
          </cell>
          <cell r="CE163">
            <v>1.5</v>
          </cell>
          <cell r="CF163">
            <v>1.34</v>
          </cell>
          <cell r="CH163">
            <v>7000000000</v>
          </cell>
          <cell r="CK163">
            <v>2.58</v>
          </cell>
          <cell r="CL163">
            <v>2.32</v>
          </cell>
          <cell r="CM163">
            <v>2.07</v>
          </cell>
          <cell r="CP163">
            <v>5000000000</v>
          </cell>
          <cell r="CR163">
            <v>1.83</v>
          </cell>
          <cell r="CS163">
            <v>1.9</v>
          </cell>
          <cell r="CT163">
            <v>2.1</v>
          </cell>
          <cell r="DA163">
            <v>5000000000</v>
          </cell>
          <cell r="DC163">
            <v>1</v>
          </cell>
          <cell r="DD163">
            <v>0.9</v>
          </cell>
          <cell r="DE163">
            <v>1.35</v>
          </cell>
        </row>
        <row r="164">
          <cell r="CA164">
            <v>10000000000</v>
          </cell>
          <cell r="CB164">
            <v>1.95</v>
          </cell>
          <cell r="CC164">
            <v>1.77</v>
          </cell>
          <cell r="CD164">
            <v>1.61</v>
          </cell>
          <cell r="CE164">
            <v>1.44</v>
          </cell>
          <cell r="CF164">
            <v>1.28</v>
          </cell>
          <cell r="CH164">
            <v>10000000000</v>
          </cell>
          <cell r="CI164">
            <v>3.02</v>
          </cell>
          <cell r="CJ164">
            <v>2.74</v>
          </cell>
          <cell r="CK164">
            <v>2.48</v>
          </cell>
          <cell r="CL164">
            <v>2.23</v>
          </cell>
          <cell r="CM164">
            <v>1.98</v>
          </cell>
          <cell r="CP164">
            <v>15000000000</v>
          </cell>
          <cell r="CR164">
            <v>1.4</v>
          </cell>
          <cell r="CS164">
            <v>1.5</v>
          </cell>
          <cell r="CT164">
            <v>1.6</v>
          </cell>
          <cell r="DA164">
            <v>15000000000</v>
          </cell>
          <cell r="DC164">
            <v>0.75</v>
          </cell>
          <cell r="DD164">
            <v>0.7</v>
          </cell>
          <cell r="DE164">
            <v>0.8</v>
          </cell>
        </row>
        <row r="165">
          <cell r="CA165">
            <v>20000000000</v>
          </cell>
          <cell r="CB165">
            <v>1.69</v>
          </cell>
          <cell r="CC165">
            <v>1.54</v>
          </cell>
          <cell r="CD165">
            <v>1.41</v>
          </cell>
          <cell r="CE165">
            <v>1.26</v>
          </cell>
          <cell r="CF165">
            <v>1.11</v>
          </cell>
          <cell r="CH165">
            <v>20000000000</v>
          </cell>
          <cell r="CI165">
            <v>2.61</v>
          </cell>
          <cell r="CJ165">
            <v>2.38</v>
          </cell>
          <cell r="CK165">
            <v>2.15</v>
          </cell>
          <cell r="CL165">
            <v>1.94</v>
          </cell>
          <cell r="CM165">
            <v>1.72</v>
          </cell>
          <cell r="CP165">
            <v>15000000000</v>
          </cell>
          <cell r="CR165">
            <v>1.3</v>
          </cell>
          <cell r="CS165">
            <v>1.4</v>
          </cell>
          <cell r="CT165">
            <v>1.5</v>
          </cell>
          <cell r="DA165">
            <v>15000000000</v>
          </cell>
          <cell r="DC165">
            <v>0.6</v>
          </cell>
          <cell r="DD165">
            <v>0.55</v>
          </cell>
          <cell r="DE165">
            <v>0.6</v>
          </cell>
        </row>
        <row r="166">
          <cell r="CA166">
            <v>50000000000</v>
          </cell>
          <cell r="CB166">
            <v>1.42</v>
          </cell>
          <cell r="CC166">
            <v>1.31</v>
          </cell>
          <cell r="CD166">
            <v>1.18</v>
          </cell>
          <cell r="CE166">
            <v>1.05</v>
          </cell>
          <cell r="CF166">
            <v>0.88</v>
          </cell>
          <cell r="CH166">
            <v>50000000000</v>
          </cell>
          <cell r="CI166">
            <v>2.2</v>
          </cell>
          <cell r="CJ166">
            <v>2.03</v>
          </cell>
          <cell r="CK166">
            <v>1.81</v>
          </cell>
          <cell r="CL166">
            <v>1.62</v>
          </cell>
          <cell r="CM166">
            <v>1.35</v>
          </cell>
          <cell r="CP166">
            <v>25000000000</v>
          </cell>
          <cell r="CR166">
            <v>1.1</v>
          </cell>
          <cell r="CS166">
            <v>1.3</v>
          </cell>
          <cell r="CT166">
            <v>1.35</v>
          </cell>
          <cell r="DA166">
            <v>25000000000</v>
          </cell>
          <cell r="DC166">
            <v>0.5</v>
          </cell>
          <cell r="DD166">
            <v>0.45</v>
          </cell>
          <cell r="DE166">
            <v>0.5</v>
          </cell>
        </row>
        <row r="167">
          <cell r="CA167">
            <v>100000000000</v>
          </cell>
          <cell r="CB167">
            <v>1.29</v>
          </cell>
          <cell r="CC167">
            <v>1.17</v>
          </cell>
          <cell r="CD167">
            <v>1.06</v>
          </cell>
          <cell r="CE167">
            <v>0.96</v>
          </cell>
          <cell r="CF167">
            <v>0.8</v>
          </cell>
          <cell r="CH167">
            <v>100000000000</v>
          </cell>
          <cell r="CI167">
            <v>1.99</v>
          </cell>
          <cell r="CJ167">
            <v>1.81</v>
          </cell>
          <cell r="CK167">
            <v>1.64</v>
          </cell>
          <cell r="CL167">
            <v>1.48</v>
          </cell>
          <cell r="CM167">
            <v>1.23</v>
          </cell>
          <cell r="CP167">
            <v>50000000000</v>
          </cell>
          <cell r="CR167">
            <v>0.95</v>
          </cell>
          <cell r="CS167">
            <v>1.1</v>
          </cell>
          <cell r="CT167">
            <v>1.15</v>
          </cell>
          <cell r="DA167">
            <v>50000000000</v>
          </cell>
          <cell r="DC167">
            <v>0.45</v>
          </cell>
          <cell r="DD167">
            <v>0.4</v>
          </cell>
          <cell r="DE167">
            <v>0.4</v>
          </cell>
        </row>
        <row r="168">
          <cell r="CA168">
            <v>200000000000</v>
          </cell>
          <cell r="CB168">
            <v>1.18</v>
          </cell>
          <cell r="CC168">
            <v>1.07</v>
          </cell>
          <cell r="CD168">
            <v>0.98</v>
          </cell>
          <cell r="CE168">
            <v>0.84</v>
          </cell>
          <cell r="CF168">
            <v>0.6</v>
          </cell>
          <cell r="CH168">
            <v>200000000000</v>
          </cell>
          <cell r="CI168">
            <v>1.82</v>
          </cell>
          <cell r="CJ168">
            <v>1.65</v>
          </cell>
          <cell r="CK168">
            <v>1.51</v>
          </cell>
          <cell r="CL168">
            <v>1.29</v>
          </cell>
          <cell r="CM168">
            <v>0.92</v>
          </cell>
          <cell r="CP168">
            <v>100000000000</v>
          </cell>
          <cell r="CR168">
            <v>0.8</v>
          </cell>
          <cell r="CS168">
            <v>1</v>
          </cell>
          <cell r="CT168">
            <v>1.05</v>
          </cell>
          <cell r="DA168">
            <v>100000000000</v>
          </cell>
          <cell r="DC168">
            <v>0.35</v>
          </cell>
          <cell r="DD168">
            <v>0.3</v>
          </cell>
          <cell r="DE168">
            <v>0.3</v>
          </cell>
        </row>
        <row r="169">
          <cell r="CA169">
            <v>500000000000</v>
          </cell>
          <cell r="CB169">
            <v>0.99</v>
          </cell>
          <cell r="CC169">
            <v>0.85</v>
          </cell>
          <cell r="CD169">
            <v>0.78</v>
          </cell>
          <cell r="CE169">
            <v>0.76</v>
          </cell>
          <cell r="CF169">
            <v>0.58</v>
          </cell>
          <cell r="CH169">
            <v>500000000000</v>
          </cell>
          <cell r="CI169">
            <v>1.53</v>
          </cell>
          <cell r="CJ169">
            <v>1.31</v>
          </cell>
          <cell r="CK169">
            <v>1.21</v>
          </cell>
          <cell r="CL169">
            <v>1.17</v>
          </cell>
          <cell r="CM169">
            <v>0.89</v>
          </cell>
          <cell r="CP169">
            <v>200000000000</v>
          </cell>
          <cell r="CR169">
            <v>0.7</v>
          </cell>
          <cell r="CS169">
            <v>0.9</v>
          </cell>
          <cell r="CT169">
            <v>0.95</v>
          </cell>
          <cell r="DA169">
            <v>200000000000</v>
          </cell>
          <cell r="DC169">
            <v>0.25</v>
          </cell>
          <cell r="DD169">
            <v>0.2</v>
          </cell>
          <cell r="DE169">
            <v>0.2</v>
          </cell>
        </row>
        <row r="170">
          <cell r="CA170">
            <v>1000000000000</v>
          </cell>
          <cell r="CB170">
            <v>0.84</v>
          </cell>
          <cell r="CC170">
            <v>0.72</v>
          </cell>
          <cell r="CD170">
            <v>0.67</v>
          </cell>
          <cell r="CE170">
            <v>0.64</v>
          </cell>
          <cell r="CF170">
            <v>0.5</v>
          </cell>
          <cell r="CH170">
            <v>1000000000000</v>
          </cell>
          <cell r="CI170">
            <v>1.3</v>
          </cell>
          <cell r="CJ170">
            <v>1.11</v>
          </cell>
          <cell r="CK170">
            <v>1.02</v>
          </cell>
          <cell r="CL170">
            <v>0.99</v>
          </cell>
          <cell r="CM170">
            <v>0.76</v>
          </cell>
          <cell r="CP170">
            <v>500000000000</v>
          </cell>
          <cell r="CR170">
            <v>0.6</v>
          </cell>
          <cell r="CS170">
            <v>0.7</v>
          </cell>
          <cell r="CT170">
            <v>0.8</v>
          </cell>
          <cell r="CV170" t="str">
            <v/>
          </cell>
          <cell r="CW170" t="str">
            <v/>
          </cell>
          <cell r="CX170">
            <v>0</v>
          </cell>
          <cell r="DA170">
            <v>500000000000</v>
          </cell>
          <cell r="DC170">
            <v>0.15</v>
          </cell>
          <cell r="DD170">
            <v>0.1</v>
          </cell>
          <cell r="DE170">
            <v>0.1</v>
          </cell>
          <cell r="DM170" t="str">
            <v/>
          </cell>
          <cell r="DN170" t="str">
            <v/>
          </cell>
          <cell r="DO170">
            <v>0</v>
          </cell>
        </row>
        <row r="171">
          <cell r="CA171">
            <v>2000000000000</v>
          </cell>
          <cell r="CB171">
            <v>0.72</v>
          </cell>
          <cell r="CC171">
            <v>0.61</v>
          </cell>
          <cell r="CD171">
            <v>0.57</v>
          </cell>
          <cell r="CE171">
            <v>0.55</v>
          </cell>
          <cell r="CF171">
            <v>0.42</v>
          </cell>
          <cell r="CH171">
            <v>2000000000000</v>
          </cell>
          <cell r="CI171">
            <v>1.11</v>
          </cell>
          <cell r="CJ171">
            <v>0.94</v>
          </cell>
          <cell r="CK171">
            <v>0.87</v>
          </cell>
          <cell r="CL171">
            <v>0.84</v>
          </cell>
          <cell r="CM171">
            <v>0.64</v>
          </cell>
          <cell r="CP171">
            <v>9.99999999999999E+307</v>
          </cell>
          <cell r="CR171">
            <v>0.6</v>
          </cell>
          <cell r="CS171">
            <v>0.7</v>
          </cell>
          <cell r="CT171">
            <v>0.8</v>
          </cell>
          <cell r="DA171">
            <v>9.99999999999999E+307</v>
          </cell>
          <cell r="DC171">
            <v>0.15</v>
          </cell>
          <cell r="DD171">
            <v>0.1</v>
          </cell>
          <cell r="DE171">
            <v>0.1</v>
          </cell>
        </row>
        <row r="172">
          <cell r="CA172">
            <v>5000000000000</v>
          </cell>
          <cell r="CB172">
            <v>0.55</v>
          </cell>
          <cell r="CC172">
            <v>0.47</v>
          </cell>
          <cell r="CD172">
            <v>0.44</v>
          </cell>
          <cell r="CE172">
            <v>0.42</v>
          </cell>
          <cell r="CF172">
            <v>0.32</v>
          </cell>
          <cell r="CH172">
            <v>5000000000000</v>
          </cell>
          <cell r="CI172">
            <v>0.85</v>
          </cell>
          <cell r="CJ172">
            <v>0.72</v>
          </cell>
          <cell r="CK172">
            <v>0.67</v>
          </cell>
          <cell r="CL172">
            <v>0.64</v>
          </cell>
          <cell r="CM172">
            <v>0.49</v>
          </cell>
          <cell r="CP172">
            <v>1</v>
          </cell>
          <cell r="DA172">
            <v>1</v>
          </cell>
        </row>
        <row r="173">
          <cell r="CA173">
            <v>8000000000000</v>
          </cell>
          <cell r="CB173">
            <v>0.42</v>
          </cell>
          <cell r="CC173">
            <v>0.31</v>
          </cell>
          <cell r="CD173">
            <v>0.29</v>
          </cell>
          <cell r="CE173">
            <v>0.27</v>
          </cell>
          <cell r="CH173">
            <v>8000000000000</v>
          </cell>
          <cell r="CI173">
            <v>0.65</v>
          </cell>
          <cell r="CJ173">
            <v>0.57</v>
          </cell>
          <cell r="CK173">
            <v>0.51</v>
          </cell>
          <cell r="CL173">
            <v>0.41</v>
          </cell>
        </row>
        <row r="174">
          <cell r="CA174">
            <v>9.99999999999999E+307</v>
          </cell>
          <cell r="CB174">
            <v>0.42</v>
          </cell>
          <cell r="CC174">
            <v>0.31</v>
          </cell>
          <cell r="CD174">
            <v>0.29</v>
          </cell>
          <cell r="CE174">
            <v>0.27</v>
          </cell>
          <cell r="CF174">
            <v>0</v>
          </cell>
          <cell r="CH174">
            <v>9.99999999999999E+307</v>
          </cell>
          <cell r="CI174">
            <v>0.65</v>
          </cell>
          <cell r="CJ174">
            <v>0.57</v>
          </cell>
          <cell r="CK174">
            <v>0.51</v>
          </cell>
          <cell r="CL174">
            <v>0.41</v>
          </cell>
          <cell r="CM174">
            <v>0</v>
          </cell>
        </row>
        <row r="175">
          <cell r="CA175">
            <v>1</v>
          </cell>
          <cell r="CH175">
            <v>1</v>
          </cell>
        </row>
        <row r="183">
          <cell r="CA183">
            <v>0</v>
          </cell>
          <cell r="CB183">
            <v>0.098</v>
          </cell>
          <cell r="CC183">
            <v>0.14</v>
          </cell>
          <cell r="CD183">
            <v>0.074</v>
          </cell>
          <cell r="CE183">
            <v>0.088</v>
          </cell>
          <cell r="CF183">
            <v>0.077</v>
          </cell>
        </row>
        <row r="184">
          <cell r="CA184">
            <v>15000000000</v>
          </cell>
          <cell r="CB184">
            <v>0.098</v>
          </cell>
          <cell r="CC184">
            <v>0.14</v>
          </cell>
          <cell r="CD184">
            <v>0.074</v>
          </cell>
          <cell r="CE184">
            <v>0.088</v>
          </cell>
          <cell r="CF184">
            <v>0.077</v>
          </cell>
        </row>
        <row r="185">
          <cell r="CA185">
            <v>20000000000</v>
          </cell>
          <cell r="CB185">
            <v>0.081</v>
          </cell>
          <cell r="CC185">
            <v>0.119</v>
          </cell>
          <cell r="CD185">
            <v>0.067</v>
          </cell>
          <cell r="CE185">
            <v>0.08</v>
          </cell>
          <cell r="CF185">
            <v>0.07</v>
          </cell>
        </row>
        <row r="186">
          <cell r="CA186">
            <v>50000000000</v>
          </cell>
          <cell r="CB186">
            <v>0.066</v>
          </cell>
          <cell r="CC186">
            <v>0.095</v>
          </cell>
          <cell r="CD186">
            <v>0.054</v>
          </cell>
          <cell r="CE186">
            <v>0.064</v>
          </cell>
          <cell r="CF186">
            <v>0.057</v>
          </cell>
        </row>
        <row r="187">
          <cell r="CA187">
            <v>100000000000</v>
          </cell>
          <cell r="CB187">
            <v>0.047</v>
          </cell>
          <cell r="CC187">
            <v>0.07</v>
          </cell>
          <cell r="CD187">
            <v>0.042</v>
          </cell>
          <cell r="CE187">
            <v>0.045</v>
          </cell>
          <cell r="CF187">
            <v>0.044</v>
          </cell>
        </row>
        <row r="188">
          <cell r="CA188">
            <v>200000000000</v>
          </cell>
          <cell r="CB188">
            <v>0.035</v>
          </cell>
          <cell r="CC188">
            <v>0.055</v>
          </cell>
          <cell r="CD188">
            <v>0.029</v>
          </cell>
          <cell r="CE188">
            <v>0.034</v>
          </cell>
          <cell r="CF188">
            <v>0.03</v>
          </cell>
        </row>
        <row r="189">
          <cell r="CA189">
            <v>500000000000</v>
          </cell>
          <cell r="CB189">
            <v>0.023</v>
          </cell>
          <cell r="CC189">
            <v>0.041</v>
          </cell>
          <cell r="CD189">
            <v>0.018</v>
          </cell>
          <cell r="CE189">
            <v>0.022</v>
          </cell>
          <cell r="CF189">
            <v>0.019</v>
          </cell>
        </row>
        <row r="190">
          <cell r="CA190">
            <v>1000000000000</v>
          </cell>
          <cell r="CB190">
            <v>0.02</v>
          </cell>
          <cell r="CC190">
            <v>0.036</v>
          </cell>
          <cell r="CD190">
            <v>0.016</v>
          </cell>
          <cell r="CE190">
            <v>0.019</v>
          </cell>
          <cell r="CF190">
            <v>0.017</v>
          </cell>
        </row>
        <row r="191">
          <cell r="CA191">
            <v>2000000000000</v>
          </cell>
          <cell r="CB191">
            <v>0.017</v>
          </cell>
          <cell r="CC191">
            <v>0.029</v>
          </cell>
          <cell r="CD191">
            <v>0.013</v>
          </cell>
          <cell r="CE191">
            <v>0.016</v>
          </cell>
          <cell r="CF191">
            <v>0.014</v>
          </cell>
        </row>
        <row r="192">
          <cell r="CA192">
            <v>5000000000000</v>
          </cell>
          <cell r="CB192">
            <v>0.014</v>
          </cell>
          <cell r="CC192">
            <v>0.025</v>
          </cell>
          <cell r="CD192">
            <v>0.011</v>
          </cell>
          <cell r="CE192">
            <v>0.013</v>
          </cell>
          <cell r="CF192">
            <v>0.012</v>
          </cell>
        </row>
        <row r="193">
          <cell r="CA193">
            <v>10000000000000</v>
          </cell>
          <cell r="CB193">
            <v>0.01</v>
          </cell>
          <cell r="CC193">
            <v>0.015</v>
          </cell>
          <cell r="CD193">
            <v>0.007</v>
          </cell>
          <cell r="CE193">
            <v>0.009</v>
          </cell>
          <cell r="CF193">
            <v>0.008</v>
          </cell>
        </row>
        <row r="194">
          <cell r="CA194">
            <v>20000000000000</v>
          </cell>
          <cell r="CB194">
            <v>0.008</v>
          </cell>
          <cell r="CC194">
            <v>0.01</v>
          </cell>
          <cell r="CD194">
            <v>0.005</v>
          </cell>
          <cell r="CE194">
            <v>0.007</v>
          </cell>
          <cell r="CF194">
            <v>0.006</v>
          </cell>
        </row>
        <row r="195">
          <cell r="CA195">
            <v>30000000000000</v>
          </cell>
          <cell r="CB195">
            <v>0.006</v>
          </cell>
          <cell r="CC195">
            <v>0.007</v>
          </cell>
          <cell r="CD195">
            <v>0.004</v>
          </cell>
          <cell r="CE195">
            <v>0.005</v>
          </cell>
          <cell r="CF195">
            <v>0.004</v>
          </cell>
        </row>
        <row r="196">
          <cell r="CA196">
            <v>9.99999999999999E+307</v>
          </cell>
          <cell r="CB196">
            <v>0.006</v>
          </cell>
          <cell r="CC196">
            <v>0.007</v>
          </cell>
          <cell r="CD196">
            <v>0.004</v>
          </cell>
          <cell r="CE196">
            <v>0.005</v>
          </cell>
          <cell r="CF196">
            <v>0.004</v>
          </cell>
        </row>
        <row r="197">
          <cell r="CA197">
            <v>1</v>
          </cell>
        </row>
        <row r="198">
          <cell r="CF198">
            <v>0</v>
          </cell>
        </row>
        <row r="205">
          <cell r="CA205">
            <v>0</v>
          </cell>
          <cell r="CB205">
            <v>0.206</v>
          </cell>
          <cell r="CC205">
            <v>0.238</v>
          </cell>
          <cell r="CD205">
            <v>0.136</v>
          </cell>
          <cell r="CE205">
            <v>0.151</v>
          </cell>
          <cell r="CF205">
            <v>0.158</v>
          </cell>
        </row>
        <row r="206">
          <cell r="CA206">
            <v>10000000000</v>
          </cell>
          <cell r="CB206">
            <v>0.206</v>
          </cell>
          <cell r="CC206">
            <v>0.238</v>
          </cell>
          <cell r="CD206">
            <v>0.136</v>
          </cell>
          <cell r="CE206">
            <v>0.151</v>
          </cell>
          <cell r="CF206">
            <v>0.158</v>
          </cell>
        </row>
        <row r="207">
          <cell r="CA207">
            <v>20000000000</v>
          </cell>
          <cell r="CB207">
            <v>0.179</v>
          </cell>
          <cell r="CC207">
            <v>0.206</v>
          </cell>
          <cell r="CD207">
            <v>0.118</v>
          </cell>
          <cell r="CE207">
            <v>0.13</v>
          </cell>
          <cell r="CF207">
            <v>0.138</v>
          </cell>
        </row>
        <row r="208">
          <cell r="CA208">
            <v>50000000000</v>
          </cell>
          <cell r="CB208">
            <v>0.138</v>
          </cell>
          <cell r="CC208">
            <v>0.158</v>
          </cell>
          <cell r="CD208">
            <v>0.09</v>
          </cell>
          <cell r="CE208">
            <v>0.1</v>
          </cell>
          <cell r="CF208">
            <v>0.106</v>
          </cell>
        </row>
        <row r="209">
          <cell r="CA209">
            <v>100000000000</v>
          </cell>
          <cell r="CB209">
            <v>0.106</v>
          </cell>
          <cell r="CC209">
            <v>0.121</v>
          </cell>
          <cell r="CD209">
            <v>0.069</v>
          </cell>
          <cell r="CE209">
            <v>0.076</v>
          </cell>
          <cell r="CF209">
            <v>0.081</v>
          </cell>
        </row>
        <row r="210">
          <cell r="CA210">
            <v>200000000000</v>
          </cell>
          <cell r="CB210">
            <v>0.081</v>
          </cell>
          <cell r="CC210">
            <v>0.094</v>
          </cell>
          <cell r="CD210">
            <v>0.054</v>
          </cell>
          <cell r="CE210">
            <v>0.06</v>
          </cell>
          <cell r="CF210">
            <v>0.063</v>
          </cell>
        </row>
        <row r="211">
          <cell r="CA211">
            <v>500000000000</v>
          </cell>
          <cell r="CB211">
            <v>0.063</v>
          </cell>
          <cell r="CC211">
            <v>0.073</v>
          </cell>
          <cell r="CD211">
            <v>0.041</v>
          </cell>
          <cell r="CE211">
            <v>0.046</v>
          </cell>
          <cell r="CF211">
            <v>0.049</v>
          </cell>
        </row>
        <row r="212">
          <cell r="CA212">
            <v>1000000000000</v>
          </cell>
          <cell r="CB212">
            <v>0.051</v>
          </cell>
          <cell r="CC212">
            <v>0.055</v>
          </cell>
          <cell r="CD212">
            <v>0.031</v>
          </cell>
          <cell r="CE212">
            <v>0.035</v>
          </cell>
          <cell r="CF212">
            <v>0.038</v>
          </cell>
        </row>
        <row r="213">
          <cell r="CA213">
            <v>2000000000000</v>
          </cell>
          <cell r="CB213">
            <v>0.036</v>
          </cell>
          <cell r="CC213">
            <v>0.044</v>
          </cell>
          <cell r="CD213">
            <v>0.026</v>
          </cell>
          <cell r="CE213">
            <v>0.029</v>
          </cell>
          <cell r="CF213">
            <v>0.033</v>
          </cell>
        </row>
        <row r="214">
          <cell r="CA214">
            <v>5000000000000</v>
          </cell>
          <cell r="CB214">
            <v>0.028</v>
          </cell>
          <cell r="CC214">
            <v>0.033</v>
          </cell>
          <cell r="CD214">
            <v>0.02</v>
          </cell>
          <cell r="CE214">
            <v>0.021</v>
          </cell>
          <cell r="CF214">
            <v>0.024</v>
          </cell>
        </row>
        <row r="215">
          <cell r="CA215">
            <v>8000000000000</v>
          </cell>
          <cell r="CB215">
            <v>0.024</v>
          </cell>
          <cell r="CC215">
            <v>0.028</v>
          </cell>
          <cell r="CD215">
            <v>0.017</v>
          </cell>
          <cell r="CE215">
            <v>0.018</v>
          </cell>
          <cell r="CF215">
            <v>0.021</v>
          </cell>
          <cell r="CI215">
            <v>0</v>
          </cell>
          <cell r="CJ215">
            <v>0</v>
          </cell>
          <cell r="CK215" t="str">
            <v/>
          </cell>
          <cell r="CL215" t="str">
            <v>Ch­a chän b­íc thiÕt kÕ</v>
          </cell>
        </row>
        <row r="216">
          <cell r="CA216">
            <v>9.99999999999999E+307</v>
          </cell>
          <cell r="CB216">
            <v>0.024</v>
          </cell>
          <cell r="CC216">
            <v>0.028</v>
          </cell>
          <cell r="CD216">
            <v>0.017</v>
          </cell>
          <cell r="CE216">
            <v>0.018</v>
          </cell>
          <cell r="CF216">
            <v>0.021</v>
          </cell>
          <cell r="CI216">
            <v>0</v>
          </cell>
          <cell r="CJ216">
            <v>0</v>
          </cell>
          <cell r="CK216" t="str">
            <v/>
          </cell>
          <cell r="CL216" t="str">
            <v>Ch­a chän b­íc thiÕt kÕ</v>
          </cell>
        </row>
        <row r="217">
          <cell r="CA217">
            <v>1</v>
          </cell>
        </row>
        <row r="225">
          <cell r="CA225">
            <v>0</v>
          </cell>
          <cell r="CB225">
            <v>0.2</v>
          </cell>
          <cell r="CC225">
            <v>0.231</v>
          </cell>
          <cell r="CD225">
            <v>0.133</v>
          </cell>
          <cell r="CE225">
            <v>0.146</v>
          </cell>
          <cell r="CF225">
            <v>0.153</v>
          </cell>
        </row>
        <row r="226">
          <cell r="CA226">
            <v>10000000000</v>
          </cell>
          <cell r="CB226">
            <v>0.2</v>
          </cell>
          <cell r="CC226">
            <v>0.231</v>
          </cell>
          <cell r="CD226">
            <v>0.133</v>
          </cell>
          <cell r="CE226">
            <v>0.146</v>
          </cell>
          <cell r="CF226">
            <v>0.153</v>
          </cell>
        </row>
        <row r="227">
          <cell r="CA227">
            <v>20000000000</v>
          </cell>
          <cell r="CB227">
            <v>0.175</v>
          </cell>
          <cell r="CC227">
            <v>0.2</v>
          </cell>
          <cell r="CD227">
            <v>0.114</v>
          </cell>
          <cell r="CE227">
            <v>0.126</v>
          </cell>
          <cell r="CF227">
            <v>0.133</v>
          </cell>
        </row>
        <row r="228">
          <cell r="CA228">
            <v>50000000000</v>
          </cell>
          <cell r="CB228">
            <v>0.133</v>
          </cell>
          <cell r="CC228">
            <v>0.151</v>
          </cell>
          <cell r="CD228">
            <v>0.085</v>
          </cell>
          <cell r="CE228">
            <v>0.095</v>
          </cell>
          <cell r="CF228">
            <v>0.103</v>
          </cell>
        </row>
        <row r="229">
          <cell r="CA229">
            <v>100000000000</v>
          </cell>
          <cell r="CB229">
            <v>0.104</v>
          </cell>
          <cell r="CC229">
            <v>0.118</v>
          </cell>
          <cell r="CD229">
            <v>0.068</v>
          </cell>
          <cell r="CE229">
            <v>0.075</v>
          </cell>
          <cell r="CF229">
            <v>0.078</v>
          </cell>
        </row>
        <row r="230">
          <cell r="CA230">
            <v>200000000000</v>
          </cell>
          <cell r="CB230">
            <v>0.078</v>
          </cell>
          <cell r="CC230">
            <v>0.09</v>
          </cell>
          <cell r="CD230">
            <v>0.051</v>
          </cell>
          <cell r="CE230">
            <v>0.058</v>
          </cell>
          <cell r="CF230">
            <v>0.059</v>
          </cell>
        </row>
        <row r="231">
          <cell r="CA231">
            <v>500000000000</v>
          </cell>
          <cell r="CB231">
            <v>0.058</v>
          </cell>
          <cell r="CC231">
            <v>0.069</v>
          </cell>
          <cell r="CD231">
            <v>0.039</v>
          </cell>
          <cell r="CE231">
            <v>0.044</v>
          </cell>
          <cell r="CF231">
            <v>0.046</v>
          </cell>
        </row>
        <row r="232">
          <cell r="CA232">
            <v>1000000000000</v>
          </cell>
          <cell r="CB232">
            <v>0.048</v>
          </cell>
          <cell r="CC232">
            <v>0.051</v>
          </cell>
          <cell r="CD232">
            <v>0.03</v>
          </cell>
          <cell r="CE232">
            <v>0.033</v>
          </cell>
          <cell r="CF232">
            <v>0.036</v>
          </cell>
        </row>
        <row r="233">
          <cell r="CA233">
            <v>2000000000000</v>
          </cell>
          <cell r="CB233">
            <v>0.035</v>
          </cell>
          <cell r="CC233">
            <v>0.041</v>
          </cell>
          <cell r="CD233">
            <v>0.025</v>
          </cell>
          <cell r="CE233">
            <v>0.028</v>
          </cell>
          <cell r="CF233">
            <v>0.03</v>
          </cell>
        </row>
        <row r="234">
          <cell r="CA234">
            <v>5000000000000</v>
          </cell>
          <cell r="CB234">
            <v>0.026</v>
          </cell>
          <cell r="CC234">
            <v>0.029</v>
          </cell>
          <cell r="CD234">
            <v>0.018</v>
          </cell>
          <cell r="CE234">
            <v>0.02</v>
          </cell>
          <cell r="CF234">
            <v>0.021</v>
          </cell>
        </row>
        <row r="235">
          <cell r="CA235">
            <v>8000000000000</v>
          </cell>
          <cell r="CB235">
            <v>0.023</v>
          </cell>
          <cell r="CC235">
            <v>0.025</v>
          </cell>
          <cell r="CD235">
            <v>0.015</v>
          </cell>
          <cell r="CE235">
            <v>0.017</v>
          </cell>
          <cell r="CF235">
            <v>0.018</v>
          </cell>
        </row>
        <row r="236">
          <cell r="CA236">
            <v>9.99999999999999E+307</v>
          </cell>
          <cell r="CB236">
            <v>0.023</v>
          </cell>
          <cell r="CC236">
            <v>0.025</v>
          </cell>
          <cell r="CD236">
            <v>0.015</v>
          </cell>
          <cell r="CE236">
            <v>0.017</v>
          </cell>
          <cell r="CF236">
            <v>0.018</v>
          </cell>
        </row>
        <row r="237">
          <cell r="CA237">
            <v>1</v>
          </cell>
        </row>
        <row r="238">
          <cell r="CF238">
            <v>0.2</v>
          </cell>
          <cell r="CG238">
            <v>2278716.3636363638</v>
          </cell>
        </row>
        <row r="246">
          <cell r="CA246">
            <v>0</v>
          </cell>
          <cell r="CB246">
            <v>0.337</v>
          </cell>
          <cell r="CC246">
            <v>0.439</v>
          </cell>
          <cell r="CD246">
            <v>0.27</v>
          </cell>
          <cell r="CE246">
            <v>0.282</v>
          </cell>
          <cell r="CF246">
            <v>0.303</v>
          </cell>
        </row>
        <row r="247">
          <cell r="CA247">
            <v>10000000000</v>
          </cell>
          <cell r="CB247">
            <v>0.337</v>
          </cell>
          <cell r="CC247">
            <v>0.439</v>
          </cell>
          <cell r="CD247">
            <v>0.27</v>
          </cell>
          <cell r="CE247">
            <v>0.282</v>
          </cell>
          <cell r="CF247">
            <v>0.303</v>
          </cell>
        </row>
        <row r="248">
          <cell r="CA248">
            <v>20000000000</v>
          </cell>
          <cell r="CB248">
            <v>0.27</v>
          </cell>
          <cell r="CC248">
            <v>0.303</v>
          </cell>
          <cell r="CD248">
            <v>0.185</v>
          </cell>
          <cell r="CE248">
            <v>0.236</v>
          </cell>
          <cell r="CF248">
            <v>0.254</v>
          </cell>
        </row>
        <row r="249">
          <cell r="CA249">
            <v>50000000000</v>
          </cell>
          <cell r="CB249">
            <v>0.152</v>
          </cell>
          <cell r="CC249">
            <v>0.169</v>
          </cell>
          <cell r="CD249">
            <v>0.118</v>
          </cell>
          <cell r="CE249">
            <v>0.13</v>
          </cell>
          <cell r="CF249">
            <v>0.135</v>
          </cell>
        </row>
        <row r="250">
          <cell r="CA250">
            <v>100000000000</v>
          </cell>
          <cell r="CB250">
            <v>0.099</v>
          </cell>
          <cell r="CC250">
            <v>0.115</v>
          </cell>
          <cell r="CD250">
            <v>0.07</v>
          </cell>
          <cell r="CE250">
            <v>0.074</v>
          </cell>
          <cell r="CF250">
            <v>0.083</v>
          </cell>
        </row>
        <row r="251">
          <cell r="CA251">
            <v>200000000000</v>
          </cell>
          <cell r="CB251">
            <v>0.059</v>
          </cell>
          <cell r="CC251">
            <v>0.074</v>
          </cell>
          <cell r="CD251">
            <v>0.045</v>
          </cell>
          <cell r="CE251">
            <v>0.047</v>
          </cell>
          <cell r="CF251">
            <v>0.049</v>
          </cell>
        </row>
        <row r="252">
          <cell r="CA252">
            <v>500000000000</v>
          </cell>
          <cell r="CB252">
            <v>0.043</v>
          </cell>
          <cell r="CC252">
            <v>0.053</v>
          </cell>
          <cell r="CD252">
            <v>0.035</v>
          </cell>
          <cell r="CE252">
            <v>0.037</v>
          </cell>
          <cell r="CF252">
            <v>0.04</v>
          </cell>
        </row>
        <row r="253">
          <cell r="CA253">
            <v>1000000000000</v>
          </cell>
          <cell r="CB253">
            <v>0.03</v>
          </cell>
          <cell r="CC253">
            <v>0.04</v>
          </cell>
          <cell r="CD253">
            <v>0.022</v>
          </cell>
          <cell r="CE253">
            <v>0.024</v>
          </cell>
          <cell r="CF253">
            <v>0.026</v>
          </cell>
        </row>
        <row r="254">
          <cell r="CA254">
            <v>2000000000000</v>
          </cell>
          <cell r="CB254">
            <v>0.026</v>
          </cell>
          <cell r="CC254">
            <v>0.034</v>
          </cell>
          <cell r="CD254">
            <v>0.019</v>
          </cell>
          <cell r="CE254">
            <v>0.021</v>
          </cell>
          <cell r="CF254">
            <v>0.022</v>
          </cell>
        </row>
        <row r="255">
          <cell r="CA255">
            <v>5000000000000</v>
          </cell>
          <cell r="CB255">
            <v>0.022</v>
          </cell>
          <cell r="CC255">
            <v>0.027</v>
          </cell>
          <cell r="CD255">
            <v>0.016</v>
          </cell>
          <cell r="CE255">
            <v>0.018</v>
          </cell>
          <cell r="CF255">
            <v>0.019</v>
          </cell>
        </row>
        <row r="256">
          <cell r="CA256">
            <v>8000000000000</v>
          </cell>
          <cell r="CB256">
            <v>0.019</v>
          </cell>
          <cell r="CC256">
            <v>0.023</v>
          </cell>
          <cell r="CD256">
            <v>0.014</v>
          </cell>
          <cell r="CE256">
            <v>0.016</v>
          </cell>
          <cell r="CF256">
            <v>0.017</v>
          </cell>
        </row>
        <row r="257">
          <cell r="CA257">
            <v>9.99999999999999E+307</v>
          </cell>
          <cell r="CB257">
            <v>0.019</v>
          </cell>
          <cell r="CC257">
            <v>0.023</v>
          </cell>
          <cell r="CD257">
            <v>0.014</v>
          </cell>
          <cell r="CE257">
            <v>0.016</v>
          </cell>
          <cell r="CF257">
            <v>0.017</v>
          </cell>
          <cell r="CI257">
            <v>1535854.8290909093</v>
          </cell>
        </row>
        <row r="258">
          <cell r="CA258">
            <v>1</v>
          </cell>
          <cell r="CI258">
            <v>2303782.2436363637</v>
          </cell>
        </row>
        <row r="259">
          <cell r="CF259">
            <v>0.337</v>
          </cell>
        </row>
        <row r="267">
          <cell r="CA267">
            <v>0</v>
          </cell>
          <cell r="CB267">
            <v>0.287</v>
          </cell>
          <cell r="CC267">
            <v>0.439</v>
          </cell>
          <cell r="CD267">
            <v>0.204</v>
          </cell>
          <cell r="CE267">
            <v>0.219</v>
          </cell>
          <cell r="CF267">
            <v>0.236</v>
          </cell>
        </row>
        <row r="268">
          <cell r="CA268">
            <v>10000000000</v>
          </cell>
          <cell r="CB268">
            <v>0.287</v>
          </cell>
          <cell r="CC268">
            <v>0.439</v>
          </cell>
          <cell r="CD268">
            <v>0.204</v>
          </cell>
          <cell r="CE268">
            <v>0.219</v>
          </cell>
          <cell r="CF268">
            <v>0.236</v>
          </cell>
        </row>
        <row r="269">
          <cell r="CA269">
            <v>20000000000</v>
          </cell>
          <cell r="CB269">
            <v>0.27</v>
          </cell>
          <cell r="CC269">
            <v>0.395</v>
          </cell>
          <cell r="CD269">
            <v>0.179</v>
          </cell>
          <cell r="CE269">
            <v>0.191</v>
          </cell>
          <cell r="CF269">
            <v>0.203</v>
          </cell>
        </row>
        <row r="270">
          <cell r="CA270">
            <v>50000000000</v>
          </cell>
          <cell r="CB270">
            <v>0.142</v>
          </cell>
          <cell r="CC270">
            <v>0.224</v>
          </cell>
          <cell r="CD270">
            <v>0.103</v>
          </cell>
          <cell r="CE270">
            <v>0.11</v>
          </cell>
          <cell r="CF270">
            <v>0.122</v>
          </cell>
        </row>
        <row r="271">
          <cell r="CA271">
            <v>100000000000</v>
          </cell>
          <cell r="CB271">
            <v>0.089</v>
          </cell>
          <cell r="CC271">
            <v>0.141</v>
          </cell>
          <cell r="CD271">
            <v>0.066</v>
          </cell>
          <cell r="CE271">
            <v>0.07</v>
          </cell>
          <cell r="CF271">
            <v>0.079</v>
          </cell>
        </row>
        <row r="272">
          <cell r="CA272">
            <v>200000000000</v>
          </cell>
          <cell r="CB272">
            <v>0.079</v>
          </cell>
          <cell r="CC272">
            <v>0.122</v>
          </cell>
          <cell r="CD272">
            <v>0.058</v>
          </cell>
          <cell r="CE272">
            <v>0.061</v>
          </cell>
          <cell r="CF272">
            <v>0.068</v>
          </cell>
        </row>
        <row r="273">
          <cell r="CA273">
            <v>500000000000</v>
          </cell>
          <cell r="CB273">
            <v>0.066</v>
          </cell>
          <cell r="CC273">
            <v>0.1</v>
          </cell>
          <cell r="CD273">
            <v>0.046</v>
          </cell>
          <cell r="CE273">
            <v>0.049</v>
          </cell>
          <cell r="CF273">
            <v>0.056</v>
          </cell>
        </row>
        <row r="274">
          <cell r="CA274">
            <v>1000000000000</v>
          </cell>
          <cell r="CB274">
            <v>0.045</v>
          </cell>
          <cell r="CC274">
            <v>0.068</v>
          </cell>
          <cell r="CD274">
            <v>0.032</v>
          </cell>
          <cell r="CE274">
            <v>0.04</v>
          </cell>
          <cell r="CF274">
            <v>0.044</v>
          </cell>
        </row>
        <row r="275">
          <cell r="CA275">
            <v>2000000000000</v>
          </cell>
          <cell r="CB275">
            <v>0.035</v>
          </cell>
          <cell r="CC275">
            <v>0.054</v>
          </cell>
          <cell r="CD275">
            <v>0.026</v>
          </cell>
          <cell r="CE275">
            <v>0.03</v>
          </cell>
          <cell r="CF275">
            <v>0.034</v>
          </cell>
        </row>
        <row r="276">
          <cell r="CA276">
            <v>5000000000000</v>
          </cell>
          <cell r="CB276">
            <v>0.027</v>
          </cell>
          <cell r="CC276">
            <v>0.041</v>
          </cell>
          <cell r="CD276">
            <v>0.021</v>
          </cell>
          <cell r="CE276">
            <v>0.024</v>
          </cell>
          <cell r="CF276">
            <v>0.026</v>
          </cell>
        </row>
        <row r="277">
          <cell r="CA277">
            <v>8000000000000</v>
          </cell>
          <cell r="CB277">
            <v>0.023</v>
          </cell>
          <cell r="CC277">
            <v>0.036</v>
          </cell>
          <cell r="CD277">
            <v>0.019</v>
          </cell>
          <cell r="CE277">
            <v>0.02</v>
          </cell>
          <cell r="CF277">
            <v>0.022</v>
          </cell>
          <cell r="CI277">
            <v>0</v>
          </cell>
        </row>
        <row r="278">
          <cell r="CA278">
            <v>9.99999999999999E+307</v>
          </cell>
          <cell r="CB278">
            <v>0.023</v>
          </cell>
          <cell r="CC278">
            <v>0.036</v>
          </cell>
          <cell r="CD278">
            <v>0.019</v>
          </cell>
          <cell r="CE278">
            <v>0.02</v>
          </cell>
          <cell r="CF278">
            <v>0.022</v>
          </cell>
          <cell r="CI278">
            <v>0</v>
          </cell>
        </row>
        <row r="279">
          <cell r="CA279">
            <v>1</v>
          </cell>
        </row>
        <row r="280">
          <cell r="CF280">
            <v>0</v>
          </cell>
        </row>
        <row r="288">
          <cell r="CA288">
            <v>0</v>
          </cell>
          <cell r="CB288">
            <v>2.628</v>
          </cell>
          <cell r="CC288">
            <v>2.806</v>
          </cell>
          <cell r="CD288">
            <v>2.562</v>
          </cell>
          <cell r="CE288">
            <v>2.079</v>
          </cell>
          <cell r="CF288">
            <v>2.053</v>
          </cell>
        </row>
        <row r="289">
          <cell r="CA289">
            <v>10000000000</v>
          </cell>
          <cell r="CB289">
            <v>2.628</v>
          </cell>
          <cell r="CC289">
            <v>2.806</v>
          </cell>
          <cell r="CD289">
            <v>2.562</v>
          </cell>
          <cell r="CE289">
            <v>2.079</v>
          </cell>
          <cell r="CF289">
            <v>2.053</v>
          </cell>
        </row>
        <row r="290">
          <cell r="CA290">
            <v>20000000000</v>
          </cell>
          <cell r="CB290">
            <v>2.282</v>
          </cell>
          <cell r="CC290">
            <v>2.51</v>
          </cell>
          <cell r="CD290">
            <v>2.16</v>
          </cell>
          <cell r="CE290">
            <v>1.834</v>
          </cell>
          <cell r="CF290">
            <v>1.805</v>
          </cell>
        </row>
        <row r="291">
          <cell r="CA291">
            <v>50000000000</v>
          </cell>
          <cell r="CB291">
            <v>1.948</v>
          </cell>
          <cell r="CC291">
            <v>2.047</v>
          </cell>
          <cell r="CD291">
            <v>1.885</v>
          </cell>
          <cell r="CE291">
            <v>1.66</v>
          </cell>
          <cell r="CF291">
            <v>1.588</v>
          </cell>
        </row>
        <row r="292">
          <cell r="CA292">
            <v>100000000000</v>
          </cell>
          <cell r="CB292">
            <v>1.512</v>
          </cell>
          <cell r="CC292">
            <v>1.7</v>
          </cell>
          <cell r="CD292">
            <v>1.405</v>
          </cell>
          <cell r="CE292">
            <v>1.266</v>
          </cell>
          <cell r="CF292">
            <v>1.198</v>
          </cell>
        </row>
        <row r="293">
          <cell r="CA293">
            <v>200000000000</v>
          </cell>
          <cell r="CB293">
            <v>1.267</v>
          </cell>
          <cell r="CC293">
            <v>1.314</v>
          </cell>
          <cell r="CD293">
            <v>1.043</v>
          </cell>
          <cell r="CE293">
            <v>0.974</v>
          </cell>
          <cell r="CF293">
            <v>0.936</v>
          </cell>
        </row>
        <row r="294">
          <cell r="CA294">
            <v>500000000000</v>
          </cell>
          <cell r="CB294">
            <v>0.974</v>
          </cell>
          <cell r="CC294">
            <v>1.066</v>
          </cell>
          <cell r="CD294">
            <v>0.822</v>
          </cell>
          <cell r="CE294">
            <v>0.779</v>
          </cell>
          <cell r="CF294">
            <v>0.748</v>
          </cell>
        </row>
        <row r="295">
          <cell r="CA295">
            <v>1000000000000</v>
          </cell>
          <cell r="CB295">
            <v>0.653</v>
          </cell>
          <cell r="CC295">
            <v>0.674</v>
          </cell>
          <cell r="CD295">
            <v>0.599</v>
          </cell>
          <cell r="CE295">
            <v>0.518</v>
          </cell>
          <cell r="CF295">
            <v>0.478</v>
          </cell>
        </row>
        <row r="296">
          <cell r="CA296">
            <v>2000000000000</v>
          </cell>
          <cell r="CB296">
            <v>0.589</v>
          </cell>
          <cell r="CC296">
            <v>0.607</v>
          </cell>
          <cell r="CD296">
            <v>0.539</v>
          </cell>
          <cell r="CE296">
            <v>0.466</v>
          </cell>
          <cell r="CF296">
            <v>0.431</v>
          </cell>
        </row>
        <row r="297">
          <cell r="CA297">
            <v>5000000000000</v>
          </cell>
          <cell r="CB297">
            <v>0.529</v>
          </cell>
          <cell r="CC297">
            <v>0.546</v>
          </cell>
          <cell r="CD297">
            <v>0.485</v>
          </cell>
          <cell r="CE297">
            <v>0.419</v>
          </cell>
          <cell r="CF297">
            <v>0.388</v>
          </cell>
        </row>
        <row r="298">
          <cell r="CA298">
            <v>8000000000000</v>
          </cell>
          <cell r="CB298">
            <v>0.46</v>
          </cell>
          <cell r="CC298">
            <v>0.474</v>
          </cell>
          <cell r="CD298">
            <v>0.422</v>
          </cell>
          <cell r="CE298">
            <v>0.364</v>
          </cell>
          <cell r="CF298">
            <v>0.337</v>
          </cell>
        </row>
        <row r="299">
          <cell r="CA299">
            <v>9.99999999999999E+307</v>
          </cell>
          <cell r="CB299">
            <v>0.46</v>
          </cell>
          <cell r="CC299">
            <v>0.474</v>
          </cell>
          <cell r="CD299">
            <v>0.422</v>
          </cell>
          <cell r="CE299">
            <v>0.364</v>
          </cell>
          <cell r="CF299">
            <v>0.337</v>
          </cell>
        </row>
        <row r="300">
          <cell r="CA300">
            <v>1</v>
          </cell>
        </row>
        <row r="301">
          <cell r="CF301">
            <v>2.628</v>
          </cell>
          <cell r="CG301">
            <v>29942333.01818182</v>
          </cell>
        </row>
        <row r="309">
          <cell r="CA309">
            <v>0</v>
          </cell>
          <cell r="CB309">
            <v>0.675</v>
          </cell>
          <cell r="CC309">
            <v>0.918</v>
          </cell>
          <cell r="CD309">
            <v>0.542</v>
          </cell>
          <cell r="CE309">
            <v>0.574</v>
          </cell>
          <cell r="CF309">
            <v>0.643</v>
          </cell>
        </row>
        <row r="310">
          <cell r="CA310">
            <v>10000000000</v>
          </cell>
          <cell r="CB310">
            <v>0.675</v>
          </cell>
          <cell r="CC310">
            <v>0.918</v>
          </cell>
          <cell r="CD310">
            <v>0.542</v>
          </cell>
          <cell r="CE310">
            <v>0.574</v>
          </cell>
          <cell r="CF310">
            <v>0.643</v>
          </cell>
        </row>
        <row r="311">
          <cell r="CA311">
            <v>20000000000</v>
          </cell>
          <cell r="CB311">
            <v>0.572</v>
          </cell>
          <cell r="CC311">
            <v>0.804</v>
          </cell>
          <cell r="CD311">
            <v>0.464</v>
          </cell>
          <cell r="CE311">
            <v>0.468</v>
          </cell>
          <cell r="CF311">
            <v>0.552</v>
          </cell>
        </row>
        <row r="312">
          <cell r="CA312">
            <v>50000000000</v>
          </cell>
          <cell r="CB312">
            <v>0.477</v>
          </cell>
          <cell r="CC312">
            <v>0.767</v>
          </cell>
          <cell r="CD312">
            <v>0.389</v>
          </cell>
          <cell r="CE312">
            <v>0.416</v>
          </cell>
          <cell r="CF312">
            <v>0.46</v>
          </cell>
        </row>
        <row r="313">
          <cell r="CA313">
            <v>100000000000</v>
          </cell>
          <cell r="CB313">
            <v>0.315</v>
          </cell>
          <cell r="CC313">
            <v>0.649</v>
          </cell>
          <cell r="CD313">
            <v>0.256</v>
          </cell>
          <cell r="CE313">
            <v>0.275</v>
          </cell>
          <cell r="CF313">
            <v>0.307</v>
          </cell>
        </row>
        <row r="314">
          <cell r="CA314">
            <v>200000000000</v>
          </cell>
          <cell r="CB314">
            <v>0.25</v>
          </cell>
          <cell r="CC314">
            <v>0.402</v>
          </cell>
          <cell r="CD314">
            <v>0.214</v>
          </cell>
          <cell r="CE314">
            <v>0.226</v>
          </cell>
          <cell r="CF314">
            <v>0.246</v>
          </cell>
        </row>
        <row r="315">
          <cell r="CA315">
            <v>500000000000</v>
          </cell>
          <cell r="CB315">
            <v>0.214</v>
          </cell>
          <cell r="CC315">
            <v>0.346</v>
          </cell>
          <cell r="CD315">
            <v>0.178</v>
          </cell>
          <cell r="CE315">
            <v>0.19</v>
          </cell>
          <cell r="CF315">
            <v>0.214</v>
          </cell>
        </row>
        <row r="316">
          <cell r="CA316">
            <v>1000000000000</v>
          </cell>
          <cell r="CB316">
            <v>0.144</v>
          </cell>
          <cell r="CC316">
            <v>0.292</v>
          </cell>
          <cell r="CD316">
            <v>0.12</v>
          </cell>
          <cell r="CE316">
            <v>0.13</v>
          </cell>
          <cell r="CF316">
            <v>0.142</v>
          </cell>
        </row>
        <row r="317">
          <cell r="CA317">
            <v>2000000000000</v>
          </cell>
          <cell r="CB317">
            <v>0.13</v>
          </cell>
          <cell r="CC317">
            <v>0.262</v>
          </cell>
          <cell r="CD317">
            <v>0.108</v>
          </cell>
          <cell r="CE317">
            <v>0.117</v>
          </cell>
          <cell r="CF317">
            <v>0.127</v>
          </cell>
        </row>
        <row r="318">
          <cell r="CA318">
            <v>5000000000000</v>
          </cell>
          <cell r="CB318">
            <v>0.117</v>
          </cell>
          <cell r="CC318">
            <v>0.235</v>
          </cell>
          <cell r="CD318">
            <v>0.097</v>
          </cell>
          <cell r="CE318">
            <v>0.105</v>
          </cell>
          <cell r="CF318">
            <v>0.114</v>
          </cell>
        </row>
        <row r="319">
          <cell r="CA319">
            <v>8000000000000</v>
          </cell>
          <cell r="CB319">
            <v>0.102</v>
          </cell>
          <cell r="CC319">
            <v>0.204</v>
          </cell>
          <cell r="CD319">
            <v>0.084</v>
          </cell>
          <cell r="CE319">
            <v>0.091</v>
          </cell>
          <cell r="CF319">
            <v>0.099</v>
          </cell>
        </row>
        <row r="320">
          <cell r="CA320">
            <v>9.99999999999999E+307</v>
          </cell>
          <cell r="CB320">
            <v>0.102</v>
          </cell>
          <cell r="CC320">
            <v>0.204</v>
          </cell>
          <cell r="CD320">
            <v>0.084</v>
          </cell>
          <cell r="CE320">
            <v>0.091</v>
          </cell>
          <cell r="CF320">
            <v>0.099</v>
          </cell>
        </row>
        <row r="321">
          <cell r="CA321">
            <v>1</v>
          </cell>
        </row>
        <row r="322">
          <cell r="CF322">
            <v>0</v>
          </cell>
          <cell r="CG322">
            <v>0</v>
          </cell>
        </row>
        <row r="357">
          <cell r="CA357">
            <v>0</v>
          </cell>
          <cell r="CB357">
            <v>0.32</v>
          </cell>
          <cell r="CC357">
            <v>0.5</v>
          </cell>
        </row>
        <row r="358">
          <cell r="CA358">
            <v>5000000000</v>
          </cell>
          <cell r="CB358">
            <v>0.32</v>
          </cell>
          <cell r="CC358">
            <v>0.5</v>
          </cell>
        </row>
        <row r="359">
          <cell r="CA359">
            <v>10000000000</v>
          </cell>
          <cell r="CB359">
            <v>0.21</v>
          </cell>
          <cell r="CC359">
            <v>0.34</v>
          </cell>
        </row>
        <row r="360">
          <cell r="CA360">
            <v>50000000000</v>
          </cell>
          <cell r="CB360">
            <v>0.16</v>
          </cell>
          <cell r="CC360">
            <v>0.24</v>
          </cell>
        </row>
        <row r="361">
          <cell r="CA361">
            <v>100000000000</v>
          </cell>
          <cell r="CB361">
            <v>0.13</v>
          </cell>
          <cell r="CC361">
            <v>0.18</v>
          </cell>
        </row>
        <row r="362">
          <cell r="CA362">
            <v>500000000000</v>
          </cell>
          <cell r="CB362">
            <v>0.06</v>
          </cell>
          <cell r="CC362">
            <v>0.1</v>
          </cell>
        </row>
        <row r="363">
          <cell r="CA363">
            <v>1000000000000</v>
          </cell>
          <cell r="CB363">
            <v>0.04</v>
          </cell>
          <cell r="CC363">
            <v>0.03</v>
          </cell>
        </row>
        <row r="364">
          <cell r="CA364">
            <v>10000000000000</v>
          </cell>
          <cell r="CB364">
            <v>0.012</v>
          </cell>
          <cell r="CC364">
            <v>0.02</v>
          </cell>
        </row>
        <row r="365">
          <cell r="CA365">
            <v>20000000000000</v>
          </cell>
          <cell r="CB365">
            <v>0.008</v>
          </cell>
          <cell r="CC365">
            <v>0.012</v>
          </cell>
        </row>
        <row r="366">
          <cell r="CA366">
            <v>9.99999999999999E+307</v>
          </cell>
          <cell r="CB366">
            <v>0.008</v>
          </cell>
          <cell r="CC366">
            <v>0.012</v>
          </cell>
        </row>
        <row r="367">
          <cell r="CA367">
            <v>1</v>
          </cell>
        </row>
        <row r="368">
          <cell r="CB368">
            <v>0</v>
          </cell>
          <cell r="CC368">
            <v>0</v>
          </cell>
        </row>
        <row r="369">
          <cell r="CB369">
            <v>0</v>
          </cell>
          <cell r="CC369">
            <v>0</v>
          </cell>
        </row>
        <row r="385">
          <cell r="CF385">
            <v>1000000</v>
          </cell>
        </row>
      </sheetData>
      <sheetData sheetId="32">
        <row r="21">
          <cell r="A21" t="str">
            <v>LT1100</v>
          </cell>
          <cell r="B21" t="str">
            <v>1. ThuyÒn tr­ëng</v>
          </cell>
        </row>
        <row r="22">
          <cell r="A22" t="str">
            <v>LT1110</v>
          </cell>
          <cell r="B22" t="str">
            <v>- Nhãm I</v>
          </cell>
        </row>
        <row r="23">
          <cell r="A23" t="str">
            <v>LT1111</v>
          </cell>
          <cell r="B23">
            <v>1</v>
          </cell>
          <cell r="C23">
            <v>2.81</v>
          </cell>
          <cell r="D23">
            <v>983500</v>
          </cell>
          <cell r="E23">
            <v>70000</v>
          </cell>
          <cell r="F23">
            <v>255710</v>
          </cell>
          <cell r="G23">
            <v>1309210</v>
          </cell>
          <cell r="H23">
            <v>50354</v>
          </cell>
        </row>
        <row r="24">
          <cell r="A24" t="str">
            <v>LT1112</v>
          </cell>
          <cell r="B24">
            <v>2</v>
          </cell>
          <cell r="C24">
            <v>2.99</v>
          </cell>
          <cell r="D24">
            <v>1046500.0000000001</v>
          </cell>
          <cell r="E24">
            <v>70000</v>
          </cell>
          <cell r="F24">
            <v>272090</v>
          </cell>
          <cell r="G24">
            <v>1388590</v>
          </cell>
          <cell r="H24">
            <v>53407</v>
          </cell>
        </row>
        <row r="25">
          <cell r="A25" t="str">
            <v>LT1120</v>
          </cell>
          <cell r="B25" t="str">
            <v>- Nhãm II</v>
          </cell>
        </row>
        <row r="26">
          <cell r="A26" t="str">
            <v>LT1121</v>
          </cell>
          <cell r="B26">
            <v>1</v>
          </cell>
          <cell r="C26">
            <v>3.73</v>
          </cell>
          <cell r="D26">
            <v>1305500</v>
          </cell>
          <cell r="E26">
            <v>70000</v>
          </cell>
          <cell r="F26">
            <v>339430</v>
          </cell>
          <cell r="G26">
            <v>1714930</v>
          </cell>
          <cell r="H26">
            <v>65959</v>
          </cell>
        </row>
        <row r="27">
          <cell r="A27" t="str">
            <v>LT1122</v>
          </cell>
          <cell r="B27">
            <v>2</v>
          </cell>
          <cell r="C27">
            <v>3.91</v>
          </cell>
          <cell r="D27">
            <v>1368500</v>
          </cell>
          <cell r="E27">
            <v>70000</v>
          </cell>
          <cell r="F27">
            <v>355810</v>
          </cell>
          <cell r="G27">
            <v>1794310</v>
          </cell>
          <cell r="H27">
            <v>69012</v>
          </cell>
        </row>
        <row r="28">
          <cell r="A28" t="str">
            <v>LT1130</v>
          </cell>
          <cell r="B28" t="str">
            <v>- Nhãm III</v>
          </cell>
        </row>
        <row r="29">
          <cell r="A29" t="str">
            <v>LT1131</v>
          </cell>
          <cell r="B29">
            <v>1</v>
          </cell>
          <cell r="C29">
            <v>4.14</v>
          </cell>
          <cell r="D29">
            <v>1449000</v>
          </cell>
          <cell r="E29">
            <v>70000</v>
          </cell>
          <cell r="F29">
            <v>376740</v>
          </cell>
          <cell r="G29">
            <v>1895740</v>
          </cell>
          <cell r="H29">
            <v>72913</v>
          </cell>
        </row>
        <row r="30">
          <cell r="A30" t="str">
            <v>LT1132</v>
          </cell>
          <cell r="B30">
            <v>2</v>
          </cell>
          <cell r="C30">
            <v>4.36</v>
          </cell>
          <cell r="D30">
            <v>1526000</v>
          </cell>
          <cell r="E30">
            <v>70000</v>
          </cell>
          <cell r="F30">
            <v>396760</v>
          </cell>
          <cell r="G30">
            <v>1992760</v>
          </cell>
          <cell r="H30">
            <v>76645</v>
          </cell>
        </row>
        <row r="31">
          <cell r="A31" t="str">
            <v>LT1140</v>
          </cell>
          <cell r="B31" t="str">
            <v>- Nhãm IV</v>
          </cell>
        </row>
        <row r="32">
          <cell r="A32" t="str">
            <v>LT1141</v>
          </cell>
          <cell r="B32">
            <v>1</v>
          </cell>
          <cell r="C32">
            <v>4.68</v>
          </cell>
          <cell r="D32">
            <v>1638000</v>
          </cell>
          <cell r="E32">
            <v>70000</v>
          </cell>
          <cell r="F32">
            <v>425880</v>
          </cell>
          <cell r="G32">
            <v>2133880</v>
          </cell>
          <cell r="H32">
            <v>82072</v>
          </cell>
        </row>
        <row r="33">
          <cell r="A33" t="str">
            <v>LT1142</v>
          </cell>
          <cell r="B33">
            <v>2</v>
          </cell>
          <cell r="C33">
            <v>4.92</v>
          </cell>
          <cell r="D33">
            <v>1722000</v>
          </cell>
          <cell r="E33">
            <v>70000</v>
          </cell>
          <cell r="F33">
            <v>447720</v>
          </cell>
          <cell r="G33">
            <v>2239720</v>
          </cell>
          <cell r="H33">
            <v>86143</v>
          </cell>
        </row>
        <row r="35">
          <cell r="A35" t="str">
            <v>LT1200</v>
          </cell>
          <cell r="B35" t="str">
            <v>2. §¹i phã, m¸y tr­ëng</v>
          </cell>
        </row>
        <row r="36">
          <cell r="A36" t="str">
            <v>LT1210</v>
          </cell>
          <cell r="B36" t="str">
            <v>- Nhãm I</v>
          </cell>
        </row>
        <row r="37">
          <cell r="A37" t="str">
            <v>LT1211</v>
          </cell>
          <cell r="B37">
            <v>1</v>
          </cell>
          <cell r="C37">
            <v>2.51</v>
          </cell>
          <cell r="D37">
            <v>878499.9999999999</v>
          </cell>
          <cell r="E37">
            <v>70000</v>
          </cell>
          <cell r="F37">
            <v>228410</v>
          </cell>
          <cell r="G37">
            <v>1176910</v>
          </cell>
          <cell r="H37">
            <v>45266</v>
          </cell>
        </row>
        <row r="38">
          <cell r="A38" t="str">
            <v>LT1212</v>
          </cell>
          <cell r="B38">
            <v>2</v>
          </cell>
          <cell r="C38">
            <v>2.66</v>
          </cell>
          <cell r="D38">
            <v>931000</v>
          </cell>
          <cell r="E38">
            <v>70000</v>
          </cell>
          <cell r="F38">
            <v>242060</v>
          </cell>
          <cell r="G38">
            <v>1243060</v>
          </cell>
          <cell r="H38">
            <v>47810</v>
          </cell>
        </row>
        <row r="39">
          <cell r="A39" t="str">
            <v>LT1220</v>
          </cell>
          <cell r="B39" t="str">
            <v>- Nhãm II</v>
          </cell>
        </row>
        <row r="40">
          <cell r="A40" t="str">
            <v>LT1221</v>
          </cell>
          <cell r="B40">
            <v>1</v>
          </cell>
          <cell r="C40">
            <v>3.17</v>
          </cell>
          <cell r="D40">
            <v>1109500</v>
          </cell>
          <cell r="E40">
            <v>70000</v>
          </cell>
          <cell r="F40">
            <v>288470</v>
          </cell>
          <cell r="G40">
            <v>1467970</v>
          </cell>
          <cell r="H40">
            <v>56460</v>
          </cell>
        </row>
        <row r="41">
          <cell r="A41" t="str">
            <v>LT1222</v>
          </cell>
          <cell r="B41">
            <v>2</v>
          </cell>
          <cell r="C41">
            <v>3.3</v>
          </cell>
          <cell r="D41">
            <v>1155000</v>
          </cell>
          <cell r="E41">
            <v>70000</v>
          </cell>
          <cell r="F41">
            <v>300300</v>
          </cell>
          <cell r="G41">
            <v>1525300</v>
          </cell>
          <cell r="H41">
            <v>58665</v>
          </cell>
        </row>
        <row r="42">
          <cell r="A42" t="str">
            <v>LT1230</v>
          </cell>
          <cell r="B42" t="str">
            <v>- Nhãm III</v>
          </cell>
        </row>
        <row r="43">
          <cell r="A43" t="str">
            <v>LT1231</v>
          </cell>
          <cell r="B43">
            <v>1</v>
          </cell>
          <cell r="C43">
            <v>3.55</v>
          </cell>
          <cell r="D43">
            <v>1242500</v>
          </cell>
          <cell r="E43">
            <v>70000</v>
          </cell>
          <cell r="F43">
            <v>323050</v>
          </cell>
          <cell r="G43">
            <v>1635550</v>
          </cell>
          <cell r="H43">
            <v>62906</v>
          </cell>
        </row>
        <row r="44">
          <cell r="A44" t="str">
            <v>LT1232</v>
          </cell>
          <cell r="B44">
            <v>2</v>
          </cell>
          <cell r="C44">
            <v>3.76</v>
          </cell>
          <cell r="D44">
            <v>1316000</v>
          </cell>
          <cell r="E44">
            <v>70000</v>
          </cell>
          <cell r="F44">
            <v>342160</v>
          </cell>
          <cell r="G44">
            <v>1728160</v>
          </cell>
          <cell r="H44">
            <v>66468</v>
          </cell>
        </row>
        <row r="45">
          <cell r="A45" t="str">
            <v>LT1240</v>
          </cell>
          <cell r="B45" t="str">
            <v>- Nhãm IV</v>
          </cell>
        </row>
        <row r="46">
          <cell r="A46" t="str">
            <v>LT1241</v>
          </cell>
          <cell r="B46">
            <v>1</v>
          </cell>
          <cell r="C46">
            <v>4.16</v>
          </cell>
          <cell r="D46">
            <v>1456000</v>
          </cell>
          <cell r="E46">
            <v>70000</v>
          </cell>
          <cell r="F46">
            <v>378560</v>
          </cell>
          <cell r="G46">
            <v>1904560</v>
          </cell>
          <cell r="H46">
            <v>73252</v>
          </cell>
        </row>
        <row r="47">
          <cell r="A47" t="str">
            <v>LT1242</v>
          </cell>
          <cell r="B47">
            <v>2</v>
          </cell>
          <cell r="C47">
            <v>4.37</v>
          </cell>
          <cell r="D47">
            <v>1529500</v>
          </cell>
          <cell r="E47">
            <v>70000</v>
          </cell>
          <cell r="F47">
            <v>397670</v>
          </cell>
          <cell r="G47">
            <v>1997170</v>
          </cell>
          <cell r="H47">
            <v>76814</v>
          </cell>
        </row>
        <row r="49">
          <cell r="A49" t="str">
            <v>LT1300</v>
          </cell>
          <cell r="B49" t="str">
            <v>3. ThuyÒn phã 2, m¸y 2</v>
          </cell>
        </row>
        <row r="50">
          <cell r="A50" t="str">
            <v>LT1320</v>
          </cell>
          <cell r="B50" t="str">
            <v>- Nhãm II</v>
          </cell>
        </row>
        <row r="51">
          <cell r="A51" t="str">
            <v>LT1321</v>
          </cell>
          <cell r="B51">
            <v>1</v>
          </cell>
          <cell r="C51">
            <v>2.66</v>
          </cell>
          <cell r="D51">
            <v>931000</v>
          </cell>
          <cell r="E51">
            <v>70000</v>
          </cell>
          <cell r="F51">
            <v>242060</v>
          </cell>
          <cell r="G51">
            <v>1243060</v>
          </cell>
          <cell r="H51">
            <v>47810</v>
          </cell>
        </row>
        <row r="52">
          <cell r="A52" t="str">
            <v>LT1322</v>
          </cell>
          <cell r="B52">
            <v>2</v>
          </cell>
          <cell r="C52">
            <v>2.81</v>
          </cell>
          <cell r="D52">
            <v>983500</v>
          </cell>
          <cell r="E52">
            <v>70000</v>
          </cell>
          <cell r="F52">
            <v>255710</v>
          </cell>
          <cell r="G52">
            <v>1309210</v>
          </cell>
          <cell r="H52">
            <v>50354</v>
          </cell>
        </row>
        <row r="53">
          <cell r="A53" t="str">
            <v>LT1330</v>
          </cell>
          <cell r="B53" t="str">
            <v>- Nhãm III</v>
          </cell>
        </row>
        <row r="54">
          <cell r="A54" t="str">
            <v>LT1331</v>
          </cell>
          <cell r="B54">
            <v>1</v>
          </cell>
          <cell r="C54">
            <v>2.93</v>
          </cell>
          <cell r="D54">
            <v>1025500</v>
          </cell>
          <cell r="E54">
            <v>70000</v>
          </cell>
          <cell r="F54">
            <v>266630</v>
          </cell>
          <cell r="G54">
            <v>1362130</v>
          </cell>
          <cell r="H54">
            <v>52390</v>
          </cell>
        </row>
        <row r="55">
          <cell r="A55" t="str">
            <v>LT1332</v>
          </cell>
          <cell r="B55">
            <v>2</v>
          </cell>
          <cell r="C55">
            <v>3.1</v>
          </cell>
          <cell r="D55">
            <v>1085000</v>
          </cell>
          <cell r="E55">
            <v>70000</v>
          </cell>
          <cell r="F55">
            <v>282100</v>
          </cell>
          <cell r="G55">
            <v>1437100</v>
          </cell>
          <cell r="H55">
            <v>55273</v>
          </cell>
        </row>
        <row r="56">
          <cell r="A56" t="str">
            <v>LT1340</v>
          </cell>
          <cell r="B56" t="str">
            <v>- Nhãm IV</v>
          </cell>
        </row>
        <row r="57">
          <cell r="A57" t="str">
            <v>LT1341</v>
          </cell>
          <cell r="B57">
            <v>1</v>
          </cell>
          <cell r="C57">
            <v>3.55</v>
          </cell>
          <cell r="D57">
            <v>1242500</v>
          </cell>
          <cell r="E57">
            <v>70000</v>
          </cell>
          <cell r="F57">
            <v>323050</v>
          </cell>
          <cell r="G57">
            <v>1635550</v>
          </cell>
          <cell r="H57">
            <v>62906</v>
          </cell>
        </row>
        <row r="58">
          <cell r="A58" t="str">
            <v>LT1342</v>
          </cell>
          <cell r="B58">
            <v>2</v>
          </cell>
          <cell r="C58">
            <v>3.76</v>
          </cell>
          <cell r="D58">
            <v>1316000</v>
          </cell>
          <cell r="E58">
            <v>70000</v>
          </cell>
          <cell r="F58">
            <v>342160</v>
          </cell>
          <cell r="G58">
            <v>1728160</v>
          </cell>
          <cell r="H58">
            <v>66468</v>
          </cell>
        </row>
        <row r="60">
          <cell r="A60" t="str">
            <v>LT2000</v>
          </cell>
          <cell r="B60" t="str">
            <v>tµu vËn t¶i s«ng kh«ng theo nhãm tµu - b.2 (trang 97)</v>
          </cell>
        </row>
        <row r="62">
          <cell r="A62" t="str">
            <v>LT2100</v>
          </cell>
          <cell r="B62" t="str">
            <v>1. Thñy thñ</v>
          </cell>
        </row>
        <row r="63">
          <cell r="A63" t="str">
            <v>LT2110</v>
          </cell>
          <cell r="B63" t="str">
            <v>- Nhãm I (vËn t¶i däc s«ng)</v>
          </cell>
        </row>
        <row r="64">
          <cell r="A64" t="str">
            <v>LT2111</v>
          </cell>
          <cell r="B64">
            <v>1</v>
          </cell>
          <cell r="C64">
            <v>1.93</v>
          </cell>
          <cell r="D64">
            <v>675500</v>
          </cell>
          <cell r="E64">
            <v>70000</v>
          </cell>
          <cell r="F64">
            <v>175630</v>
          </cell>
          <cell r="G64">
            <v>921130</v>
          </cell>
          <cell r="H64">
            <v>35428</v>
          </cell>
        </row>
        <row r="65">
          <cell r="A65" t="str">
            <v>LT2112</v>
          </cell>
          <cell r="B65">
            <v>2</v>
          </cell>
          <cell r="C65">
            <v>2.18</v>
          </cell>
          <cell r="D65">
            <v>763000</v>
          </cell>
          <cell r="E65">
            <v>70000</v>
          </cell>
          <cell r="F65">
            <v>198380</v>
          </cell>
          <cell r="G65">
            <v>1031380</v>
          </cell>
          <cell r="H65">
            <v>39668</v>
          </cell>
        </row>
        <row r="66">
          <cell r="A66" t="str">
            <v>LT2113</v>
          </cell>
          <cell r="B66">
            <v>3</v>
          </cell>
          <cell r="C66">
            <v>2.51</v>
          </cell>
          <cell r="D66">
            <v>878499.9999999999</v>
          </cell>
          <cell r="E66">
            <v>70000</v>
          </cell>
          <cell r="F66">
            <v>228410</v>
          </cell>
          <cell r="G66">
            <v>1176910</v>
          </cell>
          <cell r="H66">
            <v>45266</v>
          </cell>
        </row>
        <row r="67">
          <cell r="A67" t="str">
            <v>LT2114</v>
          </cell>
          <cell r="B67">
            <v>4</v>
          </cell>
          <cell r="C67">
            <v>2.83</v>
          </cell>
          <cell r="D67">
            <v>990500</v>
          </cell>
          <cell r="E67">
            <v>70000</v>
          </cell>
          <cell r="F67">
            <v>257530</v>
          </cell>
          <cell r="G67">
            <v>1318030</v>
          </cell>
          <cell r="H67">
            <v>50693</v>
          </cell>
        </row>
        <row r="68">
          <cell r="A68" t="str">
            <v>LT2120</v>
          </cell>
          <cell r="B68" t="str">
            <v>- Nhãm II (vËn t¶i sang ngang)</v>
          </cell>
        </row>
        <row r="69">
          <cell r="A69" t="str">
            <v>LT2121</v>
          </cell>
          <cell r="B69">
            <v>1</v>
          </cell>
          <cell r="C69">
            <v>2.12</v>
          </cell>
          <cell r="D69">
            <v>742000</v>
          </cell>
          <cell r="E69">
            <v>70000</v>
          </cell>
          <cell r="F69">
            <v>192920</v>
          </cell>
          <cell r="G69">
            <v>1004920</v>
          </cell>
          <cell r="H69">
            <v>38651</v>
          </cell>
        </row>
        <row r="70">
          <cell r="A70" t="str">
            <v>LT2122</v>
          </cell>
          <cell r="B70">
            <v>2</v>
          </cell>
          <cell r="C70">
            <v>2.39</v>
          </cell>
          <cell r="D70">
            <v>836500</v>
          </cell>
          <cell r="E70">
            <v>70000</v>
          </cell>
          <cell r="F70">
            <v>217490</v>
          </cell>
          <cell r="G70">
            <v>1123990</v>
          </cell>
          <cell r="H70">
            <v>43230</v>
          </cell>
        </row>
        <row r="71">
          <cell r="A71" t="str">
            <v>LT2123</v>
          </cell>
          <cell r="B71">
            <v>3</v>
          </cell>
          <cell r="C71">
            <v>2.76</v>
          </cell>
          <cell r="D71">
            <v>965999.9999999999</v>
          </cell>
          <cell r="E71">
            <v>70000</v>
          </cell>
          <cell r="F71">
            <v>251160</v>
          </cell>
          <cell r="G71">
            <v>1287160</v>
          </cell>
          <cell r="H71">
            <v>49506</v>
          </cell>
        </row>
        <row r="72">
          <cell r="A72" t="str">
            <v>LT2124</v>
          </cell>
          <cell r="B72">
            <v>4</v>
          </cell>
          <cell r="C72">
            <v>3.11</v>
          </cell>
          <cell r="D72">
            <v>1088500</v>
          </cell>
          <cell r="E72">
            <v>70000</v>
          </cell>
          <cell r="F72">
            <v>283010</v>
          </cell>
          <cell r="G72">
            <v>1441510</v>
          </cell>
          <cell r="H72">
            <v>55443</v>
          </cell>
        </row>
        <row r="74">
          <cell r="A74" t="str">
            <v>LT2200</v>
          </cell>
          <cell r="B74" t="str">
            <v>2. Thî m¸y, thî ®iÖn</v>
          </cell>
        </row>
        <row r="75">
          <cell r="A75" t="str">
            <v>LT2210</v>
          </cell>
          <cell r="B75" t="str">
            <v>- Nhãm I (vËn t¶i däc s«ng)</v>
          </cell>
        </row>
        <row r="76">
          <cell r="A76" t="str">
            <v>LT2211</v>
          </cell>
          <cell r="B76">
            <v>1</v>
          </cell>
          <cell r="C76">
            <v>2.05</v>
          </cell>
          <cell r="D76">
            <v>717499.9999999999</v>
          </cell>
          <cell r="E76">
            <v>70000</v>
          </cell>
          <cell r="F76">
            <v>186550</v>
          </cell>
          <cell r="G76">
            <v>974049.9999999999</v>
          </cell>
          <cell r="H76">
            <v>37463</v>
          </cell>
        </row>
        <row r="77">
          <cell r="A77" t="str">
            <v>LT2212</v>
          </cell>
          <cell r="B77">
            <v>2</v>
          </cell>
          <cell r="C77">
            <v>2.35</v>
          </cell>
          <cell r="D77">
            <v>822500</v>
          </cell>
          <cell r="E77">
            <v>70000</v>
          </cell>
          <cell r="F77">
            <v>213850</v>
          </cell>
          <cell r="G77">
            <v>1106350</v>
          </cell>
          <cell r="H77">
            <v>42552</v>
          </cell>
        </row>
        <row r="78">
          <cell r="A78" t="str">
            <v>LT2213</v>
          </cell>
          <cell r="B78">
            <v>3</v>
          </cell>
          <cell r="C78">
            <v>2.66</v>
          </cell>
          <cell r="D78">
            <v>931000</v>
          </cell>
          <cell r="E78">
            <v>70000</v>
          </cell>
          <cell r="F78">
            <v>242060</v>
          </cell>
          <cell r="G78">
            <v>1243060</v>
          </cell>
          <cell r="H78">
            <v>47810</v>
          </cell>
        </row>
        <row r="79">
          <cell r="A79" t="str">
            <v>LT2214</v>
          </cell>
          <cell r="B79">
            <v>4</v>
          </cell>
          <cell r="C79">
            <v>2.99</v>
          </cell>
          <cell r="D79">
            <v>1046500.0000000001</v>
          </cell>
          <cell r="E79">
            <v>70000</v>
          </cell>
          <cell r="F79">
            <v>272090</v>
          </cell>
          <cell r="G79">
            <v>1388590</v>
          </cell>
          <cell r="H79">
            <v>53407</v>
          </cell>
        </row>
        <row r="80">
          <cell r="A80" t="str">
            <v>LT2220</v>
          </cell>
          <cell r="B80" t="str">
            <v>- Nhãm II (vËn t¶i sang ngang)</v>
          </cell>
        </row>
        <row r="81">
          <cell r="A81" t="str">
            <v>LT2221</v>
          </cell>
          <cell r="B81">
            <v>1</v>
          </cell>
          <cell r="C81">
            <v>2.25</v>
          </cell>
          <cell r="D81">
            <v>787500</v>
          </cell>
          <cell r="E81">
            <v>70000</v>
          </cell>
          <cell r="F81">
            <v>204750</v>
          </cell>
          <cell r="G81">
            <v>1062250</v>
          </cell>
          <cell r="H81">
            <v>40856</v>
          </cell>
        </row>
        <row r="82">
          <cell r="A82" t="str">
            <v>LT2222</v>
          </cell>
          <cell r="B82">
            <v>2</v>
          </cell>
          <cell r="C82">
            <v>2.58</v>
          </cell>
          <cell r="D82">
            <v>903000</v>
          </cell>
          <cell r="E82">
            <v>70000</v>
          </cell>
          <cell r="F82">
            <v>234780</v>
          </cell>
          <cell r="G82">
            <v>1207780</v>
          </cell>
          <cell r="H82">
            <v>46453</v>
          </cell>
        </row>
        <row r="83">
          <cell r="A83" t="str">
            <v>LT2223</v>
          </cell>
          <cell r="B83">
            <v>3</v>
          </cell>
          <cell r="C83">
            <v>2.92</v>
          </cell>
          <cell r="D83">
            <v>1022000</v>
          </cell>
          <cell r="E83">
            <v>70000</v>
          </cell>
          <cell r="F83">
            <v>265720</v>
          </cell>
          <cell r="G83">
            <v>1357720</v>
          </cell>
          <cell r="H83">
            <v>52220</v>
          </cell>
        </row>
        <row r="84">
          <cell r="A84" t="str">
            <v>LT2224</v>
          </cell>
          <cell r="B84">
            <v>4</v>
          </cell>
          <cell r="C84">
            <v>3.8</v>
          </cell>
          <cell r="D84">
            <v>1330000</v>
          </cell>
          <cell r="E84">
            <v>70000</v>
          </cell>
          <cell r="F84">
            <v>345800</v>
          </cell>
          <cell r="G84">
            <v>1745800</v>
          </cell>
          <cell r="H84">
            <v>67146</v>
          </cell>
        </row>
        <row r="87">
          <cell r="A87" t="str">
            <v>LT3000</v>
          </cell>
          <cell r="B87" t="str">
            <v>tµu vËn t¶i biÓn theo nhãm tµu - b.2 (trang 98)</v>
          </cell>
        </row>
        <row r="89">
          <cell r="A89" t="str">
            <v>LT3100</v>
          </cell>
          <cell r="B89" t="str">
            <v>1. ThuyÒn tr­ëng</v>
          </cell>
        </row>
        <row r="90">
          <cell r="A90" t="str">
            <v>LT3110</v>
          </cell>
          <cell r="B90" t="str">
            <v>- D­íi 200 GRT</v>
          </cell>
        </row>
        <row r="91">
          <cell r="A91" t="str">
            <v>LT3111</v>
          </cell>
          <cell r="B91">
            <v>1</v>
          </cell>
          <cell r="C91">
            <v>4.56</v>
          </cell>
          <cell r="D91">
            <v>1595999.9999999998</v>
          </cell>
          <cell r="E91">
            <v>70000</v>
          </cell>
          <cell r="F91">
            <v>414960</v>
          </cell>
          <cell r="G91">
            <v>2080959.9999999998</v>
          </cell>
          <cell r="H91">
            <v>80037</v>
          </cell>
        </row>
        <row r="92">
          <cell r="A92" t="str">
            <v>LT3112</v>
          </cell>
          <cell r="B92">
            <v>2</v>
          </cell>
          <cell r="C92">
            <v>4.88</v>
          </cell>
          <cell r="D92">
            <v>1708000</v>
          </cell>
          <cell r="E92">
            <v>70000</v>
          </cell>
          <cell r="F92">
            <v>444080</v>
          </cell>
          <cell r="G92">
            <v>2222080</v>
          </cell>
          <cell r="H92">
            <v>85465</v>
          </cell>
        </row>
        <row r="93">
          <cell r="A93" t="str">
            <v>LT3120</v>
          </cell>
          <cell r="B93" t="str">
            <v>- Tõ 200 GRT ®Õn 499 GRT</v>
          </cell>
        </row>
        <row r="94">
          <cell r="A94" t="str">
            <v>LT3121</v>
          </cell>
          <cell r="B94">
            <v>1</v>
          </cell>
          <cell r="C94">
            <v>4.88</v>
          </cell>
          <cell r="D94">
            <v>1708000</v>
          </cell>
          <cell r="E94">
            <v>70000</v>
          </cell>
          <cell r="F94">
            <v>444080</v>
          </cell>
          <cell r="G94">
            <v>2222080</v>
          </cell>
          <cell r="H94">
            <v>85465</v>
          </cell>
        </row>
        <row r="95">
          <cell r="A95" t="str">
            <v>LT3122</v>
          </cell>
          <cell r="B95">
            <v>2</v>
          </cell>
          <cell r="C95">
            <v>5.19</v>
          </cell>
          <cell r="D95">
            <v>1816500.0000000002</v>
          </cell>
          <cell r="E95">
            <v>70000</v>
          </cell>
          <cell r="F95">
            <v>472290</v>
          </cell>
          <cell r="G95">
            <v>2358790</v>
          </cell>
          <cell r="H95">
            <v>90723</v>
          </cell>
        </row>
        <row r="96">
          <cell r="A96" t="str">
            <v>LT3130</v>
          </cell>
          <cell r="B96" t="str">
            <v>- Tõ 500 GRT ®Õn 1599 GRT</v>
          </cell>
        </row>
        <row r="97">
          <cell r="A97" t="str">
            <v>LT3131</v>
          </cell>
          <cell r="B97">
            <v>1</v>
          </cell>
          <cell r="C97">
            <v>5.19</v>
          </cell>
          <cell r="D97">
            <v>1816500.0000000002</v>
          </cell>
          <cell r="E97">
            <v>70000</v>
          </cell>
          <cell r="F97">
            <v>472290</v>
          </cell>
          <cell r="G97">
            <v>2358790</v>
          </cell>
          <cell r="H97">
            <v>90723</v>
          </cell>
        </row>
        <row r="98">
          <cell r="A98" t="str">
            <v>LT3132</v>
          </cell>
          <cell r="B98">
            <v>2</v>
          </cell>
          <cell r="C98">
            <v>5.41</v>
          </cell>
          <cell r="D98">
            <v>1893500</v>
          </cell>
          <cell r="E98">
            <v>70000</v>
          </cell>
          <cell r="F98">
            <v>492310</v>
          </cell>
          <cell r="G98">
            <v>2455810</v>
          </cell>
          <cell r="H98">
            <v>94454</v>
          </cell>
        </row>
        <row r="99">
          <cell r="A99" t="str">
            <v>LT3140</v>
          </cell>
          <cell r="B99" t="str">
            <v>- Tõ 1600 GRT ®Õn 5999 GRT</v>
          </cell>
        </row>
        <row r="100">
          <cell r="A100" t="str">
            <v>LT3141</v>
          </cell>
          <cell r="B100">
            <v>1</v>
          </cell>
          <cell r="C100">
            <v>5.41</v>
          </cell>
          <cell r="D100">
            <v>1893500</v>
          </cell>
          <cell r="E100">
            <v>70000</v>
          </cell>
          <cell r="F100">
            <v>492310</v>
          </cell>
          <cell r="G100">
            <v>2455810</v>
          </cell>
          <cell r="H100">
            <v>94454</v>
          </cell>
        </row>
        <row r="101">
          <cell r="A101" t="str">
            <v>LT3142</v>
          </cell>
          <cell r="B101">
            <v>2</v>
          </cell>
          <cell r="C101">
            <v>5.75</v>
          </cell>
          <cell r="D101">
            <v>2012500</v>
          </cell>
          <cell r="E101">
            <v>70000</v>
          </cell>
          <cell r="F101">
            <v>523250</v>
          </cell>
          <cell r="G101">
            <v>2605750</v>
          </cell>
          <cell r="H101">
            <v>100221</v>
          </cell>
        </row>
        <row r="102">
          <cell r="A102" t="str">
            <v>LT3150</v>
          </cell>
          <cell r="B102" t="str">
            <v>- Tõ 6000 GRT ®Õn 10000 GRT</v>
          </cell>
        </row>
        <row r="103">
          <cell r="A103" t="str">
            <v>LT3151</v>
          </cell>
          <cell r="B103">
            <v>1</v>
          </cell>
          <cell r="C103">
            <v>6.16</v>
          </cell>
          <cell r="D103">
            <v>2156000</v>
          </cell>
          <cell r="E103">
            <v>70000</v>
          </cell>
          <cell r="F103">
            <v>560560</v>
          </cell>
          <cell r="G103">
            <v>2786560</v>
          </cell>
          <cell r="H103">
            <v>107175</v>
          </cell>
        </row>
        <row r="104">
          <cell r="A104" t="str">
            <v>LT3152</v>
          </cell>
          <cell r="B104">
            <v>2</v>
          </cell>
          <cell r="C104">
            <v>6.5</v>
          </cell>
          <cell r="D104">
            <v>2275000</v>
          </cell>
          <cell r="E104">
            <v>70000</v>
          </cell>
          <cell r="F104">
            <v>591500</v>
          </cell>
          <cell r="G104">
            <v>2936500</v>
          </cell>
          <cell r="H104">
            <v>112942</v>
          </cell>
        </row>
        <row r="105">
          <cell r="A105" t="str">
            <v>LT3160</v>
          </cell>
          <cell r="B105" t="str">
            <v>- Tõ 10000 GRT trë lªn</v>
          </cell>
        </row>
        <row r="106">
          <cell r="A106" t="str">
            <v>LT3161</v>
          </cell>
          <cell r="B106">
            <v>1</v>
          </cell>
          <cell r="C106">
            <v>6.65</v>
          </cell>
          <cell r="D106">
            <v>2327500</v>
          </cell>
          <cell r="E106">
            <v>70000</v>
          </cell>
          <cell r="F106">
            <v>605150</v>
          </cell>
          <cell r="G106">
            <v>3002650</v>
          </cell>
          <cell r="H106">
            <v>115487</v>
          </cell>
        </row>
        <row r="107">
          <cell r="A107" t="str">
            <v>LT3162</v>
          </cell>
          <cell r="B107">
            <v>2</v>
          </cell>
          <cell r="C107">
            <v>7.15</v>
          </cell>
          <cell r="D107">
            <v>2502500</v>
          </cell>
          <cell r="E107">
            <v>70000</v>
          </cell>
          <cell r="F107">
            <v>650650</v>
          </cell>
          <cell r="G107">
            <v>3223150</v>
          </cell>
          <cell r="H107">
            <v>123967</v>
          </cell>
        </row>
        <row r="109">
          <cell r="A109" t="str">
            <v>LT3200</v>
          </cell>
          <cell r="B109" t="str">
            <v>2. M¸y tr­ëng</v>
          </cell>
        </row>
        <row r="110">
          <cell r="A110" t="str">
            <v>LT3210</v>
          </cell>
          <cell r="B110" t="str">
            <v>- D­íi 200 GRT</v>
          </cell>
        </row>
        <row r="111">
          <cell r="A111" t="str">
            <v>LT3211</v>
          </cell>
          <cell r="B111">
            <v>1</v>
          </cell>
          <cell r="C111">
            <v>4.36</v>
          </cell>
          <cell r="D111">
            <v>1526000</v>
          </cell>
          <cell r="E111">
            <v>70000</v>
          </cell>
          <cell r="F111">
            <v>396760</v>
          </cell>
          <cell r="G111">
            <v>1992760</v>
          </cell>
          <cell r="H111">
            <v>76645</v>
          </cell>
        </row>
        <row r="112">
          <cell r="A112" t="str">
            <v>LT3212</v>
          </cell>
          <cell r="B112">
            <v>2</v>
          </cell>
          <cell r="C112">
            <v>4.56</v>
          </cell>
          <cell r="D112">
            <v>1595999.9999999998</v>
          </cell>
          <cell r="E112">
            <v>70000</v>
          </cell>
          <cell r="F112">
            <v>414960</v>
          </cell>
          <cell r="G112">
            <v>2080959.9999999998</v>
          </cell>
          <cell r="H112">
            <v>80037</v>
          </cell>
        </row>
        <row r="113">
          <cell r="A113" t="str">
            <v>LT3220</v>
          </cell>
          <cell r="B113" t="str">
            <v>- Tõ 200 GRT ®Õn 499 GRT</v>
          </cell>
        </row>
        <row r="114">
          <cell r="A114" t="str">
            <v>LT3221</v>
          </cell>
          <cell r="B114">
            <v>1</v>
          </cell>
          <cell r="C114">
            <v>4.56</v>
          </cell>
          <cell r="D114">
            <v>1595999.9999999998</v>
          </cell>
          <cell r="E114">
            <v>70000</v>
          </cell>
          <cell r="F114">
            <v>414960</v>
          </cell>
          <cell r="G114">
            <v>2080959.9999999998</v>
          </cell>
          <cell r="H114">
            <v>80037</v>
          </cell>
        </row>
        <row r="115">
          <cell r="A115" t="str">
            <v>LT3222</v>
          </cell>
          <cell r="B115">
            <v>2</v>
          </cell>
          <cell r="C115">
            <v>4.88</v>
          </cell>
          <cell r="D115">
            <v>1708000</v>
          </cell>
          <cell r="E115">
            <v>70000</v>
          </cell>
          <cell r="F115">
            <v>444080</v>
          </cell>
          <cell r="G115">
            <v>2222080</v>
          </cell>
          <cell r="H115">
            <v>85465</v>
          </cell>
        </row>
        <row r="116">
          <cell r="A116" t="str">
            <v>LT3230</v>
          </cell>
          <cell r="B116" t="str">
            <v>- Tõ 500 GRT ®Õn 1599 GRT</v>
          </cell>
        </row>
        <row r="117">
          <cell r="A117" t="str">
            <v>LT3231</v>
          </cell>
          <cell r="B117">
            <v>1</v>
          </cell>
          <cell r="C117">
            <v>4.88</v>
          </cell>
          <cell r="D117">
            <v>1708000</v>
          </cell>
          <cell r="E117">
            <v>70000</v>
          </cell>
          <cell r="F117">
            <v>444080</v>
          </cell>
          <cell r="G117">
            <v>2222080</v>
          </cell>
          <cell r="H117">
            <v>85465</v>
          </cell>
        </row>
        <row r="118">
          <cell r="A118" t="str">
            <v>LT3232</v>
          </cell>
          <cell r="B118">
            <v>2</v>
          </cell>
          <cell r="C118">
            <v>5.19</v>
          </cell>
          <cell r="D118">
            <v>1816500.0000000002</v>
          </cell>
          <cell r="E118">
            <v>70000</v>
          </cell>
          <cell r="F118">
            <v>472290</v>
          </cell>
          <cell r="G118">
            <v>2358790</v>
          </cell>
          <cell r="H118">
            <v>90723</v>
          </cell>
        </row>
        <row r="119">
          <cell r="A119" t="str">
            <v>LT3240</v>
          </cell>
          <cell r="B119" t="str">
            <v>- Tõ 1600 GRT ®Õn 5999 GRT</v>
          </cell>
        </row>
        <row r="120">
          <cell r="A120" t="str">
            <v>LT3241</v>
          </cell>
          <cell r="B120">
            <v>1</v>
          </cell>
          <cell r="C120">
            <v>5.19</v>
          </cell>
          <cell r="D120">
            <v>1816500.0000000002</v>
          </cell>
          <cell r="E120">
            <v>70000</v>
          </cell>
          <cell r="F120">
            <v>472290</v>
          </cell>
          <cell r="G120">
            <v>2358790</v>
          </cell>
          <cell r="H120">
            <v>90723</v>
          </cell>
        </row>
        <row r="121">
          <cell r="A121" t="str">
            <v>LT3242</v>
          </cell>
          <cell r="B121">
            <v>2</v>
          </cell>
          <cell r="C121">
            <v>5.41</v>
          </cell>
          <cell r="D121">
            <v>1893500</v>
          </cell>
          <cell r="E121">
            <v>70000</v>
          </cell>
          <cell r="F121">
            <v>492310</v>
          </cell>
          <cell r="G121">
            <v>2455810</v>
          </cell>
          <cell r="H121">
            <v>94454</v>
          </cell>
        </row>
        <row r="122">
          <cell r="A122" t="str">
            <v>LT3250</v>
          </cell>
          <cell r="B122" t="str">
            <v>- Tõ 6000 GRT ®Õn 10000 GRT</v>
          </cell>
        </row>
        <row r="123">
          <cell r="A123" t="str">
            <v>LT3251</v>
          </cell>
          <cell r="B123">
            <v>1</v>
          </cell>
          <cell r="C123">
            <v>5.75</v>
          </cell>
          <cell r="D123">
            <v>2012500</v>
          </cell>
          <cell r="E123">
            <v>70000</v>
          </cell>
          <cell r="F123">
            <v>523250</v>
          </cell>
          <cell r="G123">
            <v>2605750</v>
          </cell>
          <cell r="H123">
            <v>100221</v>
          </cell>
        </row>
        <row r="124">
          <cell r="A124" t="str">
            <v>LT3252</v>
          </cell>
          <cell r="B124">
            <v>2</v>
          </cell>
          <cell r="C124">
            <v>6.16</v>
          </cell>
          <cell r="D124">
            <v>2156000</v>
          </cell>
          <cell r="E124">
            <v>70000</v>
          </cell>
          <cell r="F124">
            <v>560560</v>
          </cell>
          <cell r="G124">
            <v>2786560</v>
          </cell>
          <cell r="H124">
            <v>107175</v>
          </cell>
        </row>
        <row r="125">
          <cell r="A125" t="str">
            <v>LT3260</v>
          </cell>
          <cell r="B125" t="str">
            <v>- Tõ 10000 GRT trë lªn</v>
          </cell>
        </row>
        <row r="126">
          <cell r="A126" t="str">
            <v>LT3261</v>
          </cell>
          <cell r="B126">
            <v>1</v>
          </cell>
          <cell r="C126">
            <v>6.28</v>
          </cell>
          <cell r="D126">
            <v>2198000</v>
          </cell>
          <cell r="E126">
            <v>70000</v>
          </cell>
          <cell r="F126">
            <v>571480</v>
          </cell>
          <cell r="G126">
            <v>2839480</v>
          </cell>
          <cell r="H126">
            <v>109211</v>
          </cell>
        </row>
        <row r="127">
          <cell r="A127" t="str">
            <v>LT3262</v>
          </cell>
          <cell r="B127">
            <v>2</v>
          </cell>
          <cell r="C127">
            <v>6.65</v>
          </cell>
          <cell r="D127">
            <v>2327500</v>
          </cell>
          <cell r="E127">
            <v>70000</v>
          </cell>
          <cell r="F127">
            <v>605150</v>
          </cell>
          <cell r="G127">
            <v>3002650</v>
          </cell>
          <cell r="H127">
            <v>115487</v>
          </cell>
        </row>
        <row r="129">
          <cell r="A129" t="str">
            <v>LT3300</v>
          </cell>
          <cell r="B129" t="str">
            <v>3. §¹i phã, M¸y 2</v>
          </cell>
        </row>
        <row r="130">
          <cell r="A130" t="str">
            <v>LT3310</v>
          </cell>
          <cell r="B130" t="str">
            <v>- D­íi 200 GRT</v>
          </cell>
        </row>
        <row r="131">
          <cell r="A131" t="str">
            <v>LT3311</v>
          </cell>
          <cell r="B131">
            <v>1</v>
          </cell>
          <cell r="C131">
            <v>4.14</v>
          </cell>
          <cell r="D131">
            <v>1449000</v>
          </cell>
          <cell r="E131">
            <v>70000</v>
          </cell>
          <cell r="F131">
            <v>376740</v>
          </cell>
          <cell r="G131">
            <v>1895740</v>
          </cell>
          <cell r="H131">
            <v>72913</v>
          </cell>
        </row>
        <row r="132">
          <cell r="A132" t="str">
            <v>LT3312</v>
          </cell>
          <cell r="B132">
            <v>2</v>
          </cell>
          <cell r="C132">
            <v>4.36</v>
          </cell>
          <cell r="D132">
            <v>1526000</v>
          </cell>
          <cell r="E132">
            <v>70000</v>
          </cell>
          <cell r="F132">
            <v>396760</v>
          </cell>
          <cell r="G132">
            <v>1992760</v>
          </cell>
          <cell r="H132">
            <v>76645</v>
          </cell>
        </row>
        <row r="133">
          <cell r="A133" t="str">
            <v>LT3320</v>
          </cell>
          <cell r="B133" t="str">
            <v>- Tõ 200 GRT ®Õn 499 GRT</v>
          </cell>
        </row>
        <row r="134">
          <cell r="A134" t="str">
            <v>LT3321</v>
          </cell>
          <cell r="B134">
            <v>1</v>
          </cell>
          <cell r="C134">
            <v>4.36</v>
          </cell>
          <cell r="D134">
            <v>1526000</v>
          </cell>
          <cell r="E134">
            <v>70000</v>
          </cell>
          <cell r="F134">
            <v>396760</v>
          </cell>
          <cell r="G134">
            <v>1992760</v>
          </cell>
          <cell r="H134">
            <v>76645</v>
          </cell>
        </row>
        <row r="135">
          <cell r="A135" t="str">
            <v>LT3322</v>
          </cell>
          <cell r="B135">
            <v>2</v>
          </cell>
          <cell r="C135">
            <v>4.56</v>
          </cell>
          <cell r="D135">
            <v>1595999.9999999998</v>
          </cell>
          <cell r="E135">
            <v>70000</v>
          </cell>
          <cell r="F135">
            <v>414960</v>
          </cell>
          <cell r="G135">
            <v>2080959.9999999998</v>
          </cell>
          <cell r="H135">
            <v>80037</v>
          </cell>
        </row>
        <row r="136">
          <cell r="A136" t="str">
            <v>LT3330</v>
          </cell>
          <cell r="B136" t="str">
            <v>- Tõ 500 GRT ®Õn 1599 GRT</v>
          </cell>
        </row>
        <row r="137">
          <cell r="A137" t="str">
            <v>LT3331</v>
          </cell>
          <cell r="B137">
            <v>1</v>
          </cell>
          <cell r="C137">
            <v>4.56</v>
          </cell>
          <cell r="D137">
            <v>1595999.9999999998</v>
          </cell>
          <cell r="E137">
            <v>70000</v>
          </cell>
          <cell r="F137">
            <v>414960</v>
          </cell>
          <cell r="G137">
            <v>2080959.9999999998</v>
          </cell>
          <cell r="H137">
            <v>80037</v>
          </cell>
        </row>
        <row r="138">
          <cell r="A138" t="str">
            <v>LT3332</v>
          </cell>
          <cell r="B138">
            <v>2</v>
          </cell>
          <cell r="C138">
            <v>4.88</v>
          </cell>
          <cell r="D138">
            <v>1708000</v>
          </cell>
          <cell r="E138">
            <v>70000</v>
          </cell>
          <cell r="F138">
            <v>444080</v>
          </cell>
          <cell r="G138">
            <v>2222080</v>
          </cell>
          <cell r="H138">
            <v>85465</v>
          </cell>
        </row>
        <row r="139">
          <cell r="A139" t="str">
            <v>LT3340</v>
          </cell>
          <cell r="B139" t="str">
            <v>- Tõ 1600 GRT ®Õn 5999 GRT</v>
          </cell>
        </row>
        <row r="140">
          <cell r="A140" t="str">
            <v>LT3341</v>
          </cell>
          <cell r="B140">
            <v>1</v>
          </cell>
          <cell r="C140">
            <v>4.88</v>
          </cell>
          <cell r="D140">
            <v>1708000</v>
          </cell>
          <cell r="E140">
            <v>70000</v>
          </cell>
          <cell r="F140">
            <v>444080</v>
          </cell>
          <cell r="G140">
            <v>2222080</v>
          </cell>
          <cell r="H140">
            <v>85465</v>
          </cell>
        </row>
        <row r="141">
          <cell r="A141" t="str">
            <v>LT3342</v>
          </cell>
          <cell r="B141">
            <v>2</v>
          </cell>
          <cell r="C141">
            <v>5.19</v>
          </cell>
          <cell r="D141">
            <v>1816500.0000000002</v>
          </cell>
          <cell r="E141">
            <v>70000</v>
          </cell>
          <cell r="F141">
            <v>472290</v>
          </cell>
          <cell r="G141">
            <v>2358790</v>
          </cell>
          <cell r="H141">
            <v>90723</v>
          </cell>
        </row>
        <row r="142">
          <cell r="A142" t="str">
            <v>LT3350</v>
          </cell>
          <cell r="B142" t="str">
            <v>- Tõ 6000 GRT ®Õn 10000 GRT</v>
          </cell>
        </row>
        <row r="143">
          <cell r="A143" t="str">
            <v>LT3351</v>
          </cell>
          <cell r="B143">
            <v>1</v>
          </cell>
          <cell r="C143">
            <v>5.41</v>
          </cell>
          <cell r="D143">
            <v>1893500</v>
          </cell>
          <cell r="E143">
            <v>70000</v>
          </cell>
          <cell r="F143">
            <v>492310</v>
          </cell>
          <cell r="G143">
            <v>2455810</v>
          </cell>
          <cell r="H143">
            <v>94454</v>
          </cell>
        </row>
        <row r="144">
          <cell r="A144" t="str">
            <v>LT3352</v>
          </cell>
          <cell r="B144">
            <v>2</v>
          </cell>
          <cell r="C144">
            <v>5.75</v>
          </cell>
          <cell r="D144">
            <v>2012500</v>
          </cell>
          <cell r="E144">
            <v>70000</v>
          </cell>
          <cell r="F144">
            <v>523250</v>
          </cell>
          <cell r="G144">
            <v>2605750</v>
          </cell>
          <cell r="H144">
            <v>100221</v>
          </cell>
        </row>
        <row r="145">
          <cell r="A145" t="str">
            <v>LT3360</v>
          </cell>
          <cell r="B145" t="str">
            <v>- Tõ 10000 GRT trë lªn</v>
          </cell>
        </row>
        <row r="146">
          <cell r="A146" t="str">
            <v>LT3361</v>
          </cell>
          <cell r="B146">
            <v>1</v>
          </cell>
          <cell r="C146">
            <v>5.94</v>
          </cell>
          <cell r="D146">
            <v>2079000.0000000002</v>
          </cell>
          <cell r="E146">
            <v>70000</v>
          </cell>
          <cell r="F146">
            <v>540540</v>
          </cell>
          <cell r="G146">
            <v>2689540</v>
          </cell>
          <cell r="H146">
            <v>103444</v>
          </cell>
        </row>
        <row r="147">
          <cell r="A147" t="str">
            <v>LT3362</v>
          </cell>
          <cell r="B147">
            <v>2</v>
          </cell>
          <cell r="C147">
            <v>6.28</v>
          </cell>
          <cell r="D147">
            <v>2198000</v>
          </cell>
          <cell r="E147">
            <v>70000</v>
          </cell>
          <cell r="F147">
            <v>571480</v>
          </cell>
          <cell r="G147">
            <v>2839480</v>
          </cell>
          <cell r="H147">
            <v>109211</v>
          </cell>
        </row>
        <row r="149">
          <cell r="A149" t="str">
            <v>LT3400</v>
          </cell>
          <cell r="B149" t="str">
            <v>4. ThuyÒn phã 2, M¸y 3</v>
          </cell>
        </row>
        <row r="150">
          <cell r="A150" t="str">
            <v>LT3410</v>
          </cell>
          <cell r="B150" t="str">
            <v>- D­íi 200 GRT</v>
          </cell>
        </row>
        <row r="151">
          <cell r="A151" t="str">
            <v>LT3411</v>
          </cell>
          <cell r="B151">
            <v>1</v>
          </cell>
          <cell r="C151">
            <v>3.66</v>
          </cell>
          <cell r="D151">
            <v>1281000</v>
          </cell>
          <cell r="E151">
            <v>70000</v>
          </cell>
          <cell r="F151">
            <v>333060</v>
          </cell>
          <cell r="G151">
            <v>1684060</v>
          </cell>
          <cell r="H151">
            <v>64772</v>
          </cell>
        </row>
        <row r="152">
          <cell r="A152" t="str">
            <v>LT3412</v>
          </cell>
          <cell r="B152">
            <v>2</v>
          </cell>
          <cell r="C152">
            <v>3.91</v>
          </cell>
          <cell r="D152">
            <v>1368500</v>
          </cell>
          <cell r="E152">
            <v>70000</v>
          </cell>
          <cell r="F152">
            <v>355810</v>
          </cell>
          <cell r="G152">
            <v>1794310</v>
          </cell>
          <cell r="H152">
            <v>69012</v>
          </cell>
        </row>
        <row r="153">
          <cell r="A153" t="str">
            <v>LT3420</v>
          </cell>
          <cell r="B153" t="str">
            <v>- Tõ 200 GRT ®Õn 499 GRT</v>
          </cell>
        </row>
        <row r="154">
          <cell r="A154" t="str">
            <v>LT3421</v>
          </cell>
          <cell r="B154">
            <v>1</v>
          </cell>
          <cell r="C154">
            <v>3.91</v>
          </cell>
          <cell r="D154">
            <v>1368500</v>
          </cell>
          <cell r="E154">
            <v>70000</v>
          </cell>
          <cell r="F154">
            <v>355810</v>
          </cell>
          <cell r="G154">
            <v>1794310</v>
          </cell>
          <cell r="H154">
            <v>69012</v>
          </cell>
        </row>
        <row r="155">
          <cell r="A155" t="str">
            <v>LT3422</v>
          </cell>
          <cell r="B155">
            <v>2</v>
          </cell>
          <cell r="C155">
            <v>4.16</v>
          </cell>
          <cell r="D155">
            <v>1456000</v>
          </cell>
          <cell r="E155">
            <v>70000</v>
          </cell>
          <cell r="F155">
            <v>378560</v>
          </cell>
          <cell r="G155">
            <v>1904560</v>
          </cell>
          <cell r="H155">
            <v>73252</v>
          </cell>
        </row>
        <row r="156">
          <cell r="A156" t="str">
            <v>LT3430</v>
          </cell>
          <cell r="B156" t="str">
            <v>- Tõ 500 GRT ®Õn 1599 GRT</v>
          </cell>
        </row>
        <row r="157">
          <cell r="A157" t="str">
            <v>LT3431</v>
          </cell>
          <cell r="B157">
            <v>1</v>
          </cell>
          <cell r="C157">
            <v>4.16</v>
          </cell>
          <cell r="D157">
            <v>1456000</v>
          </cell>
          <cell r="E157">
            <v>70000</v>
          </cell>
          <cell r="F157">
            <v>378560</v>
          </cell>
          <cell r="G157">
            <v>1904560</v>
          </cell>
          <cell r="H157">
            <v>73252</v>
          </cell>
        </row>
        <row r="158">
          <cell r="A158" t="str">
            <v>LT3432</v>
          </cell>
          <cell r="B158">
            <v>2</v>
          </cell>
          <cell r="C158">
            <v>4.37</v>
          </cell>
          <cell r="D158">
            <v>1529500</v>
          </cell>
          <cell r="E158">
            <v>70000</v>
          </cell>
          <cell r="F158">
            <v>397670</v>
          </cell>
          <cell r="G158">
            <v>1997170</v>
          </cell>
          <cell r="H158">
            <v>76814</v>
          </cell>
        </row>
        <row r="159">
          <cell r="A159" t="str">
            <v>LT3440</v>
          </cell>
          <cell r="B159" t="str">
            <v>- Tõ 1600 GRT ®Õn 5999 GRT</v>
          </cell>
        </row>
        <row r="160">
          <cell r="A160" t="str">
            <v>LT3441</v>
          </cell>
          <cell r="B160">
            <v>1</v>
          </cell>
          <cell r="C160">
            <v>4.37</v>
          </cell>
          <cell r="D160">
            <v>1529500</v>
          </cell>
          <cell r="E160">
            <v>70000</v>
          </cell>
          <cell r="F160">
            <v>397670</v>
          </cell>
          <cell r="G160">
            <v>1997170</v>
          </cell>
          <cell r="H160">
            <v>76814</v>
          </cell>
        </row>
        <row r="161">
          <cell r="A161" t="str">
            <v>LT3442</v>
          </cell>
          <cell r="B161">
            <v>2</v>
          </cell>
          <cell r="C161">
            <v>4.68</v>
          </cell>
          <cell r="D161">
            <v>1638000</v>
          </cell>
          <cell r="E161">
            <v>70000</v>
          </cell>
          <cell r="F161">
            <v>425880</v>
          </cell>
          <cell r="G161">
            <v>2133880</v>
          </cell>
          <cell r="H161">
            <v>82072</v>
          </cell>
        </row>
        <row r="162">
          <cell r="A162" t="str">
            <v>LT3450</v>
          </cell>
          <cell r="B162" t="str">
            <v>- Tõ 6000 GRT ®Õn 10000 GRT</v>
          </cell>
        </row>
        <row r="163">
          <cell r="A163" t="str">
            <v>LT3451</v>
          </cell>
          <cell r="B163">
            <v>1</v>
          </cell>
          <cell r="C163">
            <v>4.88</v>
          </cell>
          <cell r="D163">
            <v>1708000</v>
          </cell>
          <cell r="E163">
            <v>70000</v>
          </cell>
          <cell r="F163">
            <v>444080</v>
          </cell>
          <cell r="G163">
            <v>2222080</v>
          </cell>
          <cell r="H163">
            <v>85465</v>
          </cell>
        </row>
        <row r="164">
          <cell r="A164" t="str">
            <v>LT3452</v>
          </cell>
          <cell r="B164">
            <v>2</v>
          </cell>
          <cell r="C164">
            <v>5.19</v>
          </cell>
          <cell r="D164">
            <v>1816500.0000000002</v>
          </cell>
          <cell r="E164">
            <v>70000</v>
          </cell>
          <cell r="F164">
            <v>472290</v>
          </cell>
          <cell r="G164">
            <v>2358790</v>
          </cell>
          <cell r="H164">
            <v>90723</v>
          </cell>
        </row>
        <row r="165">
          <cell r="A165" t="str">
            <v>LT3460</v>
          </cell>
          <cell r="B165" t="str">
            <v>- Tõ 10000 GRT trë lªn</v>
          </cell>
        </row>
        <row r="166">
          <cell r="A166" t="str">
            <v>LT3461</v>
          </cell>
          <cell r="B166">
            <v>1</v>
          </cell>
          <cell r="C166">
            <v>5.28</v>
          </cell>
          <cell r="D166">
            <v>1848000</v>
          </cell>
          <cell r="E166">
            <v>70000</v>
          </cell>
          <cell r="F166">
            <v>480480</v>
          </cell>
          <cell r="G166">
            <v>2398480</v>
          </cell>
          <cell r="H166">
            <v>92249</v>
          </cell>
        </row>
        <row r="167">
          <cell r="A167" t="str">
            <v>LT3462</v>
          </cell>
          <cell r="B167">
            <v>2</v>
          </cell>
          <cell r="C167">
            <v>5.62</v>
          </cell>
          <cell r="D167">
            <v>1967000</v>
          </cell>
          <cell r="E167">
            <v>70000</v>
          </cell>
          <cell r="F167">
            <v>511420</v>
          </cell>
          <cell r="G167">
            <v>2548420</v>
          </cell>
          <cell r="H167">
            <v>98016</v>
          </cell>
        </row>
        <row r="169">
          <cell r="A169" t="str">
            <v>LT4000</v>
          </cell>
          <cell r="B169" t="str">
            <v>tµu vËn t¶i biÓn kh«ng theo nhãm tµu - b.2 (trang 97)</v>
          </cell>
        </row>
        <row r="171">
          <cell r="A171" t="str">
            <v>LT4100</v>
          </cell>
          <cell r="B171" t="str">
            <v>1. Thñy thñ</v>
          </cell>
        </row>
        <row r="172">
          <cell r="A172" t="str">
            <v>LT4101</v>
          </cell>
          <cell r="B172">
            <v>1</v>
          </cell>
          <cell r="C172">
            <v>2.18</v>
          </cell>
          <cell r="D172">
            <v>763000</v>
          </cell>
          <cell r="E172">
            <v>70000</v>
          </cell>
          <cell r="F172">
            <v>198380</v>
          </cell>
          <cell r="G172">
            <v>1031380</v>
          </cell>
          <cell r="H172">
            <v>39668</v>
          </cell>
        </row>
        <row r="173">
          <cell r="A173" t="str">
            <v>LT4102</v>
          </cell>
          <cell r="B173">
            <v>2</v>
          </cell>
          <cell r="C173">
            <v>2.59</v>
          </cell>
          <cell r="D173">
            <v>906500</v>
          </cell>
          <cell r="E173">
            <v>70000</v>
          </cell>
          <cell r="F173">
            <v>235690</v>
          </cell>
          <cell r="G173">
            <v>1212190</v>
          </cell>
          <cell r="H173">
            <v>46623</v>
          </cell>
        </row>
        <row r="174">
          <cell r="A174" t="str">
            <v>LT4103</v>
          </cell>
          <cell r="B174">
            <v>3</v>
          </cell>
          <cell r="C174">
            <v>3.08</v>
          </cell>
          <cell r="D174">
            <v>1078000</v>
          </cell>
          <cell r="E174">
            <v>70000</v>
          </cell>
          <cell r="F174">
            <v>280280</v>
          </cell>
          <cell r="G174">
            <v>1428280</v>
          </cell>
          <cell r="H174">
            <v>54934</v>
          </cell>
        </row>
        <row r="175">
          <cell r="A175" t="str">
            <v>LT4104</v>
          </cell>
          <cell r="B175">
            <v>4</v>
          </cell>
          <cell r="C175">
            <v>3.73</v>
          </cell>
          <cell r="D175">
            <v>1305500</v>
          </cell>
          <cell r="E175">
            <v>70000</v>
          </cell>
          <cell r="F175">
            <v>339430</v>
          </cell>
          <cell r="G175">
            <v>1714930</v>
          </cell>
          <cell r="H175">
            <v>65959</v>
          </cell>
        </row>
        <row r="177">
          <cell r="A177" t="str">
            <v>LT4200</v>
          </cell>
          <cell r="B177" t="str">
            <v>2. Thî m¸y kiªm c¬ khÝ, thî b¬m</v>
          </cell>
        </row>
        <row r="178">
          <cell r="A178" t="str">
            <v>LT4201</v>
          </cell>
          <cell r="B178">
            <v>1</v>
          </cell>
          <cell r="C178">
            <v>2.51</v>
          </cell>
          <cell r="D178">
            <v>878499.9999999999</v>
          </cell>
          <cell r="E178">
            <v>70000</v>
          </cell>
          <cell r="F178">
            <v>228410</v>
          </cell>
          <cell r="G178">
            <v>1176910</v>
          </cell>
          <cell r="H178">
            <v>45266</v>
          </cell>
        </row>
        <row r="179">
          <cell r="A179" t="str">
            <v>LT4202</v>
          </cell>
          <cell r="B179">
            <v>2</v>
          </cell>
          <cell r="C179">
            <v>2.93</v>
          </cell>
          <cell r="D179">
            <v>1025500</v>
          </cell>
          <cell r="E179">
            <v>70000</v>
          </cell>
          <cell r="F179">
            <v>266630</v>
          </cell>
          <cell r="G179">
            <v>1362130</v>
          </cell>
          <cell r="H179">
            <v>52390</v>
          </cell>
        </row>
        <row r="180">
          <cell r="A180" t="str">
            <v>LT4203</v>
          </cell>
          <cell r="B180">
            <v>3</v>
          </cell>
          <cell r="C180">
            <v>3.49</v>
          </cell>
          <cell r="D180">
            <v>1221500</v>
          </cell>
          <cell r="E180">
            <v>70000</v>
          </cell>
          <cell r="F180">
            <v>317590</v>
          </cell>
          <cell r="G180">
            <v>1609090</v>
          </cell>
          <cell r="H180">
            <v>61888</v>
          </cell>
        </row>
        <row r="181">
          <cell r="A181" t="str">
            <v>LT4204</v>
          </cell>
          <cell r="B181">
            <v>4</v>
          </cell>
          <cell r="C181">
            <v>4.16</v>
          </cell>
          <cell r="D181">
            <v>1456000</v>
          </cell>
          <cell r="E181">
            <v>70000</v>
          </cell>
          <cell r="F181">
            <v>378560</v>
          </cell>
          <cell r="G181">
            <v>1904560</v>
          </cell>
          <cell r="H181">
            <v>73252</v>
          </cell>
        </row>
        <row r="183">
          <cell r="A183" t="str">
            <v>LT4300</v>
          </cell>
          <cell r="B183" t="str">
            <v>3. Thî m¸y, thî ®iÖn, v« tuyÕn ®iÖn</v>
          </cell>
        </row>
        <row r="184">
          <cell r="A184" t="str">
            <v>LT4301</v>
          </cell>
          <cell r="B184">
            <v>1</v>
          </cell>
          <cell r="C184">
            <v>2.35</v>
          </cell>
          <cell r="D184">
            <v>822500</v>
          </cell>
          <cell r="E184">
            <v>70000</v>
          </cell>
          <cell r="F184">
            <v>213850</v>
          </cell>
          <cell r="G184">
            <v>1106350</v>
          </cell>
          <cell r="H184">
            <v>42552</v>
          </cell>
        </row>
        <row r="185">
          <cell r="A185" t="str">
            <v>LT4302</v>
          </cell>
          <cell r="B185">
            <v>2</v>
          </cell>
          <cell r="C185">
            <v>2.72</v>
          </cell>
          <cell r="D185">
            <v>952000.0000000001</v>
          </cell>
          <cell r="E185">
            <v>70000</v>
          </cell>
          <cell r="F185">
            <v>247520</v>
          </cell>
          <cell r="G185">
            <v>1269520</v>
          </cell>
          <cell r="H185">
            <v>48828</v>
          </cell>
        </row>
        <row r="186">
          <cell r="A186" t="str">
            <v>LT4303</v>
          </cell>
          <cell r="B186">
            <v>3</v>
          </cell>
          <cell r="C186">
            <v>3.25</v>
          </cell>
          <cell r="D186">
            <v>1137500</v>
          </cell>
          <cell r="E186">
            <v>70000</v>
          </cell>
          <cell r="F186">
            <v>295750</v>
          </cell>
          <cell r="G186">
            <v>1503250</v>
          </cell>
          <cell r="H186">
            <v>57817</v>
          </cell>
        </row>
        <row r="187">
          <cell r="A187" t="str">
            <v>LT4304</v>
          </cell>
          <cell r="B187">
            <v>4</v>
          </cell>
          <cell r="C187">
            <v>3.91</v>
          </cell>
          <cell r="D187">
            <v>1368500</v>
          </cell>
          <cell r="E187">
            <v>70000</v>
          </cell>
          <cell r="F187">
            <v>355810</v>
          </cell>
          <cell r="G187">
            <v>1794310</v>
          </cell>
          <cell r="H187">
            <v>69012</v>
          </cell>
        </row>
        <row r="189">
          <cell r="A189" t="str">
            <v>LT5000</v>
          </cell>
          <cell r="B189" t="str">
            <v>tµu n¹o vÐt biÓn - b.5 (trang 102)</v>
          </cell>
        </row>
        <row r="191">
          <cell r="A191" t="str">
            <v>LT5100</v>
          </cell>
          <cell r="B191" t="str">
            <v>1. ThuyÒn tr­ëng tµu hót bông</v>
          </cell>
        </row>
        <row r="192">
          <cell r="A192" t="str">
            <v>LT5110</v>
          </cell>
          <cell r="B192" t="str">
            <v>- Tµu hót, tµu cuèc tõ 300m3/h ®Õn d­íi 800m3/h</v>
          </cell>
        </row>
        <row r="193">
          <cell r="A193" t="str">
            <v>LT5111</v>
          </cell>
          <cell r="B193">
            <v>1</v>
          </cell>
          <cell r="C193">
            <v>5.19</v>
          </cell>
          <cell r="D193">
            <v>1816500.0000000002</v>
          </cell>
          <cell r="E193">
            <v>70000</v>
          </cell>
          <cell r="F193">
            <v>472290</v>
          </cell>
          <cell r="G193">
            <v>2358790</v>
          </cell>
          <cell r="H193">
            <v>90723</v>
          </cell>
        </row>
        <row r="194">
          <cell r="A194" t="str">
            <v>LT5112</v>
          </cell>
          <cell r="B194">
            <v>2</v>
          </cell>
          <cell r="C194">
            <v>5.41</v>
          </cell>
          <cell r="D194">
            <v>1893500</v>
          </cell>
          <cell r="E194">
            <v>70000</v>
          </cell>
          <cell r="F194">
            <v>492310</v>
          </cell>
          <cell r="G194">
            <v>2455810</v>
          </cell>
          <cell r="H194">
            <v>94454</v>
          </cell>
        </row>
        <row r="195">
          <cell r="A195" t="str">
            <v>LT5120</v>
          </cell>
          <cell r="B195" t="str">
            <v>- Tµu hót, tµu cuèc tõ 800m3/h trë lªn</v>
          </cell>
        </row>
        <row r="196">
          <cell r="A196" t="str">
            <v>LT5121</v>
          </cell>
          <cell r="B196">
            <v>1</v>
          </cell>
          <cell r="C196">
            <v>5.41</v>
          </cell>
          <cell r="D196">
            <v>1893500</v>
          </cell>
          <cell r="E196">
            <v>70000</v>
          </cell>
          <cell r="F196">
            <v>492310</v>
          </cell>
          <cell r="G196">
            <v>2455810</v>
          </cell>
          <cell r="H196">
            <v>94454</v>
          </cell>
        </row>
        <row r="197">
          <cell r="A197" t="str">
            <v>LT5122</v>
          </cell>
          <cell r="B197">
            <v>2</v>
          </cell>
          <cell r="C197">
            <v>5.75</v>
          </cell>
          <cell r="D197">
            <v>2012500</v>
          </cell>
          <cell r="E197">
            <v>70000</v>
          </cell>
          <cell r="F197">
            <v>523250</v>
          </cell>
          <cell r="G197">
            <v>2605750</v>
          </cell>
          <cell r="H197">
            <v>100221</v>
          </cell>
        </row>
        <row r="199">
          <cell r="A199" t="str">
            <v>LT5200</v>
          </cell>
          <cell r="B199" t="str">
            <v>2. M¸y tr­ëng, ThuyÒn tr­ëng tµu cuèc, tµu hót phun, tµu NV b»ng gÇu ngo¹m</v>
          </cell>
        </row>
        <row r="200">
          <cell r="A200" t="str">
            <v>LT5210</v>
          </cell>
          <cell r="B200" t="str">
            <v>- Tµu hót, tµu cuèc tõ 300m3/h ®Õn d­íi 800m3/h</v>
          </cell>
        </row>
        <row r="201">
          <cell r="A201" t="str">
            <v>LT5211</v>
          </cell>
          <cell r="B201">
            <v>1</v>
          </cell>
          <cell r="C201">
            <v>4.92</v>
          </cell>
          <cell r="D201">
            <v>1722000</v>
          </cell>
          <cell r="E201">
            <v>70000</v>
          </cell>
          <cell r="F201">
            <v>447720</v>
          </cell>
          <cell r="G201">
            <v>2239720</v>
          </cell>
          <cell r="H201">
            <v>86143</v>
          </cell>
        </row>
        <row r="202">
          <cell r="A202" t="str">
            <v>LT5212</v>
          </cell>
          <cell r="B202">
            <v>2</v>
          </cell>
          <cell r="C202">
            <v>5.19</v>
          </cell>
          <cell r="D202">
            <v>1816500.0000000002</v>
          </cell>
          <cell r="E202">
            <v>70000</v>
          </cell>
          <cell r="F202">
            <v>472290</v>
          </cell>
          <cell r="G202">
            <v>2358790</v>
          </cell>
          <cell r="H202">
            <v>90723</v>
          </cell>
        </row>
        <row r="203">
          <cell r="A203" t="str">
            <v>LT5220</v>
          </cell>
          <cell r="B203" t="str">
            <v>- Tµu hót, tµu cuèc tõ 800m3/h trë lªn</v>
          </cell>
        </row>
        <row r="204">
          <cell r="A204" t="str">
            <v>LT5221</v>
          </cell>
          <cell r="B204">
            <v>1</v>
          </cell>
          <cell r="C204">
            <v>5.19</v>
          </cell>
          <cell r="D204">
            <v>1816500.0000000002</v>
          </cell>
          <cell r="E204">
            <v>70000</v>
          </cell>
          <cell r="F204">
            <v>472290</v>
          </cell>
          <cell r="G204">
            <v>2358790</v>
          </cell>
          <cell r="H204">
            <v>90723</v>
          </cell>
        </row>
        <row r="205">
          <cell r="A205" t="str">
            <v>LT5222</v>
          </cell>
          <cell r="B205">
            <v>2</v>
          </cell>
          <cell r="C205">
            <v>5.41</v>
          </cell>
          <cell r="D205">
            <v>1893500</v>
          </cell>
          <cell r="E205">
            <v>70000</v>
          </cell>
          <cell r="F205">
            <v>492310</v>
          </cell>
          <cell r="G205">
            <v>2455810</v>
          </cell>
          <cell r="H205">
            <v>94454</v>
          </cell>
        </row>
        <row r="207">
          <cell r="A207" t="str">
            <v>LT5300</v>
          </cell>
          <cell r="B207" t="str">
            <v>3. §iÖn tr­ëng, ®¹i phã tµu cuèc; kü thuËt viªn cuèc 1 tµu hót bông; thuyÒn phã 2,</v>
          </cell>
        </row>
        <row r="208">
          <cell r="B208" t="str">
            <v>m¸y 3 tµu hót bông; m¸y 3, kü thuËt viªn cuèc 2 tµu cuèc, tµu hót phun, </v>
          </cell>
        </row>
        <row r="209">
          <cell r="B209" t="str">
            <v>tµu nv b»ng gÇu ngo¹m</v>
          </cell>
        </row>
        <row r="210">
          <cell r="A210" t="str">
            <v>LT5310</v>
          </cell>
          <cell r="B210" t="str">
            <v>- Tµu hót, tµu cuèc tõ 300m3/h ®Õn d­íi 800m3/h</v>
          </cell>
        </row>
        <row r="211">
          <cell r="A211" t="str">
            <v>LT5311</v>
          </cell>
          <cell r="B211">
            <v>1</v>
          </cell>
          <cell r="C211">
            <v>4.37</v>
          </cell>
          <cell r="D211">
            <v>1529500</v>
          </cell>
          <cell r="E211">
            <v>70000</v>
          </cell>
          <cell r="F211">
            <v>397670</v>
          </cell>
          <cell r="G211">
            <v>1997170</v>
          </cell>
          <cell r="H211">
            <v>76814</v>
          </cell>
        </row>
        <row r="212">
          <cell r="A212" t="str">
            <v>LT5312</v>
          </cell>
          <cell r="B212">
            <v>2</v>
          </cell>
          <cell r="C212">
            <v>4.68</v>
          </cell>
          <cell r="D212">
            <v>1638000</v>
          </cell>
          <cell r="E212">
            <v>70000</v>
          </cell>
          <cell r="F212">
            <v>425880</v>
          </cell>
          <cell r="G212">
            <v>2133880</v>
          </cell>
          <cell r="H212">
            <v>82072</v>
          </cell>
        </row>
        <row r="213">
          <cell r="A213" t="str">
            <v>LT5320</v>
          </cell>
          <cell r="B213" t="str">
            <v>- Tµu hót, tµu cuèc tõ 800m3/h trë lªn</v>
          </cell>
        </row>
        <row r="214">
          <cell r="A214" t="str">
            <v>LT5321</v>
          </cell>
          <cell r="B214">
            <v>1</v>
          </cell>
          <cell r="C214">
            <v>4.68</v>
          </cell>
          <cell r="D214">
            <v>1638000</v>
          </cell>
          <cell r="E214">
            <v>70000</v>
          </cell>
          <cell r="F214">
            <v>425880</v>
          </cell>
          <cell r="G214">
            <v>2133880</v>
          </cell>
          <cell r="H214">
            <v>82072</v>
          </cell>
        </row>
        <row r="215">
          <cell r="A215" t="str">
            <v>LT5322</v>
          </cell>
          <cell r="B215">
            <v>2</v>
          </cell>
          <cell r="C215">
            <v>4.92</v>
          </cell>
          <cell r="D215">
            <v>1722000</v>
          </cell>
          <cell r="E215">
            <v>70000</v>
          </cell>
          <cell r="F215">
            <v>447720</v>
          </cell>
          <cell r="G215">
            <v>2239720</v>
          </cell>
          <cell r="H215">
            <v>86143</v>
          </cell>
        </row>
        <row r="217">
          <cell r="A217" t="str">
            <v>LT5400</v>
          </cell>
          <cell r="B217" t="str">
            <v>4. §¹i phã, m¸y 2 tµu hót bông; m¸y 2, kü thuËt viªn cuèc 1 tµu cuèc, tµu hót phun,</v>
          </cell>
        </row>
        <row r="218">
          <cell r="B218" t="str">
            <v>tµu nv b»ng gÇu ngo¹m</v>
          </cell>
        </row>
        <row r="219">
          <cell r="A219" t="str">
            <v>LT5410</v>
          </cell>
          <cell r="B219" t="str">
            <v>- Tµu hót, tµu cuèc tõ 300m3/h ®Õn d­íi 800m3/h</v>
          </cell>
        </row>
        <row r="220">
          <cell r="A220" t="str">
            <v>LT5411</v>
          </cell>
          <cell r="B220">
            <v>1</v>
          </cell>
          <cell r="C220">
            <v>4.68</v>
          </cell>
          <cell r="D220">
            <v>1638000</v>
          </cell>
          <cell r="E220">
            <v>70000</v>
          </cell>
          <cell r="F220">
            <v>425880</v>
          </cell>
          <cell r="G220">
            <v>2133880</v>
          </cell>
          <cell r="H220">
            <v>82072</v>
          </cell>
        </row>
        <row r="221">
          <cell r="A221" t="str">
            <v>LT5412</v>
          </cell>
          <cell r="B221">
            <v>2</v>
          </cell>
          <cell r="C221">
            <v>4.92</v>
          </cell>
          <cell r="D221">
            <v>1722000</v>
          </cell>
          <cell r="E221">
            <v>70000</v>
          </cell>
          <cell r="F221">
            <v>447720</v>
          </cell>
          <cell r="G221">
            <v>2239720</v>
          </cell>
          <cell r="H221">
            <v>86143</v>
          </cell>
        </row>
        <row r="222">
          <cell r="A222" t="str">
            <v>LT5420</v>
          </cell>
          <cell r="B222" t="str">
            <v>- Tµu hót, tµu cuèc tõ 800m3/h trë lªn</v>
          </cell>
        </row>
        <row r="223">
          <cell r="A223" t="str">
            <v>LT5421</v>
          </cell>
          <cell r="B223">
            <v>1</v>
          </cell>
          <cell r="C223">
            <v>4.92</v>
          </cell>
          <cell r="D223">
            <v>1722000</v>
          </cell>
          <cell r="E223">
            <v>70000</v>
          </cell>
          <cell r="F223">
            <v>447720</v>
          </cell>
          <cell r="G223">
            <v>2239720</v>
          </cell>
          <cell r="H223">
            <v>86143</v>
          </cell>
        </row>
        <row r="224">
          <cell r="A224" t="str">
            <v>LT5422</v>
          </cell>
          <cell r="B224">
            <v>2</v>
          </cell>
          <cell r="C224">
            <v>5.19</v>
          </cell>
          <cell r="D224">
            <v>1816500.0000000002</v>
          </cell>
          <cell r="E224">
            <v>70000</v>
          </cell>
          <cell r="F224">
            <v>472290</v>
          </cell>
          <cell r="G224">
            <v>2358790</v>
          </cell>
          <cell r="H224">
            <v>90723</v>
          </cell>
        </row>
        <row r="226">
          <cell r="A226" t="str">
            <v>LT5500</v>
          </cell>
          <cell r="B226" t="str">
            <v>5. ThuyÒn phã 2 tµu cuèc, kü thuËt viªn cuèc 2 tµu hót; thuyÒn phã 3, m¸y 4 tµu hót</v>
          </cell>
        </row>
        <row r="227">
          <cell r="B227" t="str">
            <v>bông; m¸y 3, kü thuËt viªn cuèc 3 tµu cuèc, tµu hót phun, tµu nv b»ng gÇu ngo¹m</v>
          </cell>
        </row>
        <row r="228">
          <cell r="A228" t="str">
            <v>LT5510</v>
          </cell>
          <cell r="B228" t="str">
            <v>- Tµu hót, tµu cuèc tõ 300m3/h ®Õn d­íi 800m3/h</v>
          </cell>
        </row>
        <row r="229">
          <cell r="A229" t="str">
            <v>LT5511</v>
          </cell>
          <cell r="B229">
            <v>1</v>
          </cell>
          <cell r="C229">
            <v>4.16</v>
          </cell>
          <cell r="D229">
            <v>1456000</v>
          </cell>
          <cell r="E229">
            <v>70000</v>
          </cell>
          <cell r="F229">
            <v>378560</v>
          </cell>
          <cell r="G229">
            <v>1904560</v>
          </cell>
          <cell r="H229">
            <v>73252</v>
          </cell>
        </row>
        <row r="230">
          <cell r="A230" t="str">
            <v>LT5512</v>
          </cell>
          <cell r="B230">
            <v>2</v>
          </cell>
          <cell r="C230">
            <v>4.37</v>
          </cell>
          <cell r="D230">
            <v>1529500</v>
          </cell>
          <cell r="E230">
            <v>70000</v>
          </cell>
          <cell r="F230">
            <v>397670</v>
          </cell>
          <cell r="G230">
            <v>1997170</v>
          </cell>
          <cell r="H230">
            <v>76814</v>
          </cell>
        </row>
        <row r="231">
          <cell r="A231" t="str">
            <v>LT5520</v>
          </cell>
          <cell r="B231" t="str">
            <v>- Tµu hót, tµu cuèc tõ 800m3/h trë lªn</v>
          </cell>
        </row>
        <row r="232">
          <cell r="A232" t="str">
            <v>LT5521</v>
          </cell>
          <cell r="B232">
            <v>1</v>
          </cell>
          <cell r="C232">
            <v>4.37</v>
          </cell>
          <cell r="D232">
            <v>1529500</v>
          </cell>
          <cell r="E232">
            <v>70000</v>
          </cell>
          <cell r="F232">
            <v>397670</v>
          </cell>
          <cell r="G232">
            <v>1997170</v>
          </cell>
          <cell r="H232">
            <v>76814</v>
          </cell>
        </row>
        <row r="233">
          <cell r="A233" t="str">
            <v>LT5522</v>
          </cell>
          <cell r="B233">
            <v>2</v>
          </cell>
          <cell r="C233">
            <v>4.68</v>
          </cell>
          <cell r="D233">
            <v>1638000</v>
          </cell>
          <cell r="E233">
            <v>70000</v>
          </cell>
          <cell r="F233">
            <v>425880</v>
          </cell>
          <cell r="G233">
            <v>2133880</v>
          </cell>
          <cell r="H233">
            <v>82072</v>
          </cell>
        </row>
        <row r="235">
          <cell r="A235" t="str">
            <v>LT5600</v>
          </cell>
          <cell r="B235" t="str">
            <v>6. ThuyÒn phã 3 tµu cuèc, tµu hót phun, tµu nv b»ng gÇu ngo¹m; kü thuËt viªn</v>
          </cell>
        </row>
        <row r="236">
          <cell r="B236" t="str">
            <v>cuèc 3 tµu hót bông</v>
          </cell>
        </row>
        <row r="237">
          <cell r="A237" t="str">
            <v>LT5610</v>
          </cell>
          <cell r="B237" t="str">
            <v>- Tµu hót, tµu cuèc tõ 300m3/h ®Õn d­íi 800m3/h</v>
          </cell>
        </row>
        <row r="238">
          <cell r="A238" t="str">
            <v>LT5611</v>
          </cell>
          <cell r="B238">
            <v>1</v>
          </cell>
          <cell r="C238">
            <v>3.91</v>
          </cell>
          <cell r="D238">
            <v>1368500</v>
          </cell>
          <cell r="E238">
            <v>70000</v>
          </cell>
          <cell r="F238">
            <v>355810</v>
          </cell>
          <cell r="G238">
            <v>1794310</v>
          </cell>
          <cell r="H238">
            <v>69012</v>
          </cell>
        </row>
        <row r="239">
          <cell r="A239" t="str">
            <v>LT5612</v>
          </cell>
          <cell r="B239">
            <v>2</v>
          </cell>
          <cell r="C239">
            <v>4.16</v>
          </cell>
          <cell r="D239">
            <v>1456000</v>
          </cell>
          <cell r="E239">
            <v>70000</v>
          </cell>
          <cell r="F239">
            <v>378560</v>
          </cell>
          <cell r="G239">
            <v>1904560</v>
          </cell>
          <cell r="H239">
            <v>73252</v>
          </cell>
        </row>
        <row r="240">
          <cell r="A240" t="str">
            <v>LT5620</v>
          </cell>
          <cell r="B240" t="str">
            <v>- Tµu hót, tµu cuèc tõ 800m3/h trë lªn</v>
          </cell>
        </row>
        <row r="241">
          <cell r="A241" t="str">
            <v>LT5621</v>
          </cell>
          <cell r="B241">
            <v>1</v>
          </cell>
          <cell r="C241">
            <v>4.16</v>
          </cell>
          <cell r="D241">
            <v>1456000</v>
          </cell>
          <cell r="E241">
            <v>70000</v>
          </cell>
          <cell r="F241">
            <v>378560</v>
          </cell>
          <cell r="G241">
            <v>1904560</v>
          </cell>
          <cell r="H241">
            <v>73252</v>
          </cell>
        </row>
        <row r="242">
          <cell r="A242" t="str">
            <v>LT5622</v>
          </cell>
          <cell r="B242">
            <v>2</v>
          </cell>
          <cell r="C242">
            <v>4.37</v>
          </cell>
          <cell r="D242">
            <v>1529500</v>
          </cell>
          <cell r="E242">
            <v>70000</v>
          </cell>
          <cell r="F242">
            <v>397670</v>
          </cell>
          <cell r="G242">
            <v>1997170</v>
          </cell>
          <cell r="H242">
            <v>76814</v>
          </cell>
        </row>
        <row r="244">
          <cell r="A244" t="str">
            <v>LT5700</v>
          </cell>
          <cell r="B244" t="str">
            <v>7. Thî m¸y, ®iÖn, ®iÖn b¸o</v>
          </cell>
        </row>
        <row r="245">
          <cell r="A245" t="str">
            <v>LT5701</v>
          </cell>
          <cell r="B245">
            <v>1</v>
          </cell>
          <cell r="C245">
            <v>2.35</v>
          </cell>
          <cell r="D245">
            <v>822500</v>
          </cell>
          <cell r="E245">
            <v>70000</v>
          </cell>
          <cell r="F245">
            <v>213850</v>
          </cell>
          <cell r="G245">
            <v>1106350</v>
          </cell>
          <cell r="H245">
            <v>42552</v>
          </cell>
        </row>
        <row r="246">
          <cell r="A246" t="str">
            <v>LT5702</v>
          </cell>
          <cell r="B246">
            <v>2</v>
          </cell>
          <cell r="C246">
            <v>2.66</v>
          </cell>
          <cell r="D246">
            <v>931000</v>
          </cell>
          <cell r="E246">
            <v>70000</v>
          </cell>
          <cell r="F246">
            <v>242060</v>
          </cell>
          <cell r="G246">
            <v>1243060</v>
          </cell>
          <cell r="H246">
            <v>47810</v>
          </cell>
        </row>
        <row r="247">
          <cell r="A247" t="str">
            <v>LT5703</v>
          </cell>
          <cell r="B247">
            <v>3</v>
          </cell>
          <cell r="C247">
            <v>3.12</v>
          </cell>
          <cell r="D247">
            <v>1092000</v>
          </cell>
          <cell r="E247">
            <v>70000</v>
          </cell>
          <cell r="F247">
            <v>283920</v>
          </cell>
          <cell r="G247">
            <v>1445920</v>
          </cell>
          <cell r="H247">
            <v>55612</v>
          </cell>
        </row>
        <row r="248">
          <cell r="A248" t="str">
            <v>LT5704</v>
          </cell>
          <cell r="B248">
            <v>4</v>
          </cell>
          <cell r="C248">
            <v>3.73</v>
          </cell>
          <cell r="D248">
            <v>1305500</v>
          </cell>
          <cell r="E248">
            <v>70000</v>
          </cell>
          <cell r="F248">
            <v>339430</v>
          </cell>
          <cell r="G248">
            <v>1714930</v>
          </cell>
          <cell r="H248">
            <v>65959</v>
          </cell>
        </row>
        <row r="250">
          <cell r="A250" t="str">
            <v>LT5800</v>
          </cell>
          <cell r="B250" t="str">
            <v>8. Thuû thñ, thî cuèc</v>
          </cell>
        </row>
        <row r="251">
          <cell r="A251" t="str">
            <v>LT5801</v>
          </cell>
          <cell r="B251">
            <v>1</v>
          </cell>
          <cell r="C251">
            <v>2.18</v>
          </cell>
          <cell r="D251">
            <v>763000</v>
          </cell>
          <cell r="E251">
            <v>70000</v>
          </cell>
          <cell r="F251">
            <v>198380</v>
          </cell>
          <cell r="G251">
            <v>1031380</v>
          </cell>
          <cell r="H251">
            <v>39668</v>
          </cell>
        </row>
        <row r="252">
          <cell r="A252" t="str">
            <v>LT5802</v>
          </cell>
          <cell r="B252">
            <v>2</v>
          </cell>
          <cell r="C252">
            <v>2.59</v>
          </cell>
          <cell r="D252">
            <v>906500</v>
          </cell>
          <cell r="E252">
            <v>70000</v>
          </cell>
          <cell r="F252">
            <v>235690</v>
          </cell>
          <cell r="G252">
            <v>1212190</v>
          </cell>
          <cell r="H252">
            <v>46623</v>
          </cell>
        </row>
        <row r="253">
          <cell r="A253" t="str">
            <v>LT5803</v>
          </cell>
          <cell r="B253">
            <v>3</v>
          </cell>
          <cell r="C253">
            <v>3.08</v>
          </cell>
          <cell r="D253">
            <v>1078000</v>
          </cell>
          <cell r="E253">
            <v>70000</v>
          </cell>
          <cell r="F253">
            <v>280280</v>
          </cell>
          <cell r="G253">
            <v>1428280</v>
          </cell>
          <cell r="H253">
            <v>54934</v>
          </cell>
        </row>
        <row r="254">
          <cell r="A254" t="str">
            <v>LT5804</v>
          </cell>
          <cell r="B254">
            <v>4</v>
          </cell>
          <cell r="C254">
            <v>3.73</v>
          </cell>
          <cell r="D254">
            <v>1305500</v>
          </cell>
          <cell r="E254">
            <v>70000</v>
          </cell>
          <cell r="F254">
            <v>339430</v>
          </cell>
          <cell r="G254">
            <v>1714930</v>
          </cell>
          <cell r="H254">
            <v>65959</v>
          </cell>
        </row>
        <row r="256">
          <cell r="A256" t="str">
            <v>LT6000</v>
          </cell>
          <cell r="B256" t="str">
            <v>tµu n¹o vÐt s«ng - b.5 (trang 103)</v>
          </cell>
        </row>
        <row r="258">
          <cell r="A258" t="str">
            <v>LT6100</v>
          </cell>
          <cell r="B258" t="str">
            <v>1. ThuyÒn tr­ëng</v>
          </cell>
        </row>
        <row r="259">
          <cell r="A259" t="str">
            <v>LT6110</v>
          </cell>
          <cell r="B259" t="str">
            <v>- Tµu hót d­íi 150m3/h</v>
          </cell>
        </row>
        <row r="260">
          <cell r="A260" t="str">
            <v>LT6111</v>
          </cell>
          <cell r="B260">
            <v>1</v>
          </cell>
          <cell r="C260">
            <v>3.91</v>
          </cell>
          <cell r="D260">
            <v>1368500</v>
          </cell>
          <cell r="E260">
            <v>70000</v>
          </cell>
          <cell r="F260">
            <v>355810</v>
          </cell>
          <cell r="G260">
            <v>1794310</v>
          </cell>
          <cell r="H260">
            <v>69012</v>
          </cell>
        </row>
        <row r="261">
          <cell r="A261" t="str">
            <v>LT6112</v>
          </cell>
          <cell r="B261">
            <v>2</v>
          </cell>
          <cell r="C261">
            <v>4.16</v>
          </cell>
          <cell r="D261">
            <v>1456000</v>
          </cell>
          <cell r="E261">
            <v>70000</v>
          </cell>
          <cell r="F261">
            <v>378560</v>
          </cell>
          <cell r="G261">
            <v>1904560</v>
          </cell>
          <cell r="H261">
            <v>73252</v>
          </cell>
        </row>
        <row r="262">
          <cell r="A262" t="str">
            <v>LT6120</v>
          </cell>
          <cell r="B262" t="str">
            <v>- Tµu hót tõ 150m3/h ®Õn 300m3/h</v>
          </cell>
        </row>
        <row r="263">
          <cell r="A263" t="str">
            <v>LT6121</v>
          </cell>
          <cell r="B263">
            <v>1</v>
          </cell>
          <cell r="C263">
            <v>4.37</v>
          </cell>
          <cell r="D263">
            <v>1529500</v>
          </cell>
          <cell r="E263">
            <v>70000</v>
          </cell>
          <cell r="F263">
            <v>397670</v>
          </cell>
          <cell r="G263">
            <v>1997170</v>
          </cell>
          <cell r="H263">
            <v>76814</v>
          </cell>
        </row>
        <row r="264">
          <cell r="A264" t="str">
            <v>LT6122</v>
          </cell>
          <cell r="B264">
            <v>2</v>
          </cell>
          <cell r="C264">
            <v>4.68</v>
          </cell>
          <cell r="D264">
            <v>1638000</v>
          </cell>
          <cell r="E264">
            <v>70000</v>
          </cell>
          <cell r="F264">
            <v>425880</v>
          </cell>
          <cell r="G264">
            <v>2133880</v>
          </cell>
          <cell r="H264">
            <v>82072</v>
          </cell>
        </row>
        <row r="265">
          <cell r="A265" t="str">
            <v>LT6130</v>
          </cell>
          <cell r="B265" t="str">
            <v>- Tµu hót trªn 300m3/h, tµu cuèc d­íi 300m3/h</v>
          </cell>
        </row>
        <row r="266">
          <cell r="A266" t="str">
            <v>LT6131</v>
          </cell>
          <cell r="B266">
            <v>1</v>
          </cell>
          <cell r="C266">
            <v>4.88</v>
          </cell>
          <cell r="D266">
            <v>1708000</v>
          </cell>
          <cell r="E266">
            <v>70000</v>
          </cell>
          <cell r="F266">
            <v>444080</v>
          </cell>
          <cell r="G266">
            <v>2222080</v>
          </cell>
          <cell r="H266">
            <v>85465</v>
          </cell>
        </row>
        <row r="267">
          <cell r="A267" t="str">
            <v>LT6132</v>
          </cell>
          <cell r="B267">
            <v>2</v>
          </cell>
          <cell r="C267">
            <v>5.19</v>
          </cell>
          <cell r="D267">
            <v>1816500.0000000002</v>
          </cell>
          <cell r="E267">
            <v>70000</v>
          </cell>
          <cell r="F267">
            <v>472290</v>
          </cell>
          <cell r="G267">
            <v>2358790</v>
          </cell>
          <cell r="H267">
            <v>90723</v>
          </cell>
        </row>
        <row r="269">
          <cell r="A269" t="str">
            <v>LT6200</v>
          </cell>
          <cell r="B269" t="str">
            <v>2. M¸y tr­ëng</v>
          </cell>
        </row>
        <row r="270">
          <cell r="A270" t="str">
            <v>LT6210</v>
          </cell>
          <cell r="B270" t="str">
            <v>- Tµu hót d­íi 150m3/h</v>
          </cell>
        </row>
        <row r="271">
          <cell r="A271" t="str">
            <v>LT6211</v>
          </cell>
          <cell r="B271">
            <v>1</v>
          </cell>
          <cell r="C271">
            <v>3.5</v>
          </cell>
          <cell r="D271">
            <v>1225000</v>
          </cell>
          <cell r="E271">
            <v>70000</v>
          </cell>
          <cell r="F271">
            <v>318500</v>
          </cell>
          <cell r="G271">
            <v>1613500</v>
          </cell>
          <cell r="H271">
            <v>62058</v>
          </cell>
        </row>
        <row r="272">
          <cell r="A272" t="str">
            <v>LT6212</v>
          </cell>
          <cell r="B272">
            <v>2</v>
          </cell>
          <cell r="C272">
            <v>3.73</v>
          </cell>
          <cell r="D272">
            <v>1305500</v>
          </cell>
          <cell r="E272">
            <v>70000</v>
          </cell>
          <cell r="F272">
            <v>339430</v>
          </cell>
          <cell r="G272">
            <v>1714930</v>
          </cell>
          <cell r="H272">
            <v>65959</v>
          </cell>
        </row>
        <row r="273">
          <cell r="A273" t="str">
            <v>LT6220</v>
          </cell>
          <cell r="B273" t="str">
            <v>- Tµu hót tõ 150m3/h ®Õn 300m3/h</v>
          </cell>
        </row>
        <row r="274">
          <cell r="A274" t="str">
            <v>LT6221</v>
          </cell>
          <cell r="B274">
            <v>1</v>
          </cell>
          <cell r="C274">
            <v>4.16</v>
          </cell>
          <cell r="D274">
            <v>1456000</v>
          </cell>
          <cell r="E274">
            <v>70000</v>
          </cell>
          <cell r="F274">
            <v>378560</v>
          </cell>
          <cell r="G274">
            <v>1904560</v>
          </cell>
          <cell r="H274">
            <v>73252</v>
          </cell>
        </row>
        <row r="275">
          <cell r="A275" t="str">
            <v>LT6222</v>
          </cell>
          <cell r="B275">
            <v>2</v>
          </cell>
          <cell r="C275">
            <v>4.37</v>
          </cell>
          <cell r="D275">
            <v>1529500</v>
          </cell>
          <cell r="E275">
            <v>70000</v>
          </cell>
          <cell r="F275">
            <v>397670</v>
          </cell>
          <cell r="G275">
            <v>1997170</v>
          </cell>
          <cell r="H275">
            <v>76814</v>
          </cell>
        </row>
        <row r="276">
          <cell r="A276" t="str">
            <v>LT6230</v>
          </cell>
          <cell r="B276" t="str">
            <v>- Tµu hót trªn 300m3/h, tµu cuèc d­íi 300m3/h</v>
          </cell>
        </row>
        <row r="277">
          <cell r="A277" t="str">
            <v>LT6231</v>
          </cell>
          <cell r="B277">
            <v>1</v>
          </cell>
          <cell r="C277">
            <v>4.71</v>
          </cell>
          <cell r="D277">
            <v>1648500</v>
          </cell>
          <cell r="E277">
            <v>70000</v>
          </cell>
          <cell r="F277">
            <v>428610</v>
          </cell>
          <cell r="G277">
            <v>2147110</v>
          </cell>
          <cell r="H277">
            <v>82581</v>
          </cell>
        </row>
        <row r="278">
          <cell r="A278" t="str">
            <v>LT6232</v>
          </cell>
          <cell r="B278">
            <v>2</v>
          </cell>
          <cell r="C278">
            <v>5.07</v>
          </cell>
          <cell r="D278">
            <v>1774500</v>
          </cell>
          <cell r="E278">
            <v>70000</v>
          </cell>
          <cell r="F278">
            <v>461370</v>
          </cell>
          <cell r="G278">
            <v>2305870</v>
          </cell>
          <cell r="H278">
            <v>88687</v>
          </cell>
        </row>
        <row r="280">
          <cell r="A280" t="str">
            <v>LT6300</v>
          </cell>
          <cell r="B280" t="str">
            <v>3. §iÖn tr­ëng</v>
          </cell>
        </row>
        <row r="281">
          <cell r="A281" t="str">
            <v>LT6330</v>
          </cell>
          <cell r="B281" t="str">
            <v>- Tµu hót trªn 300m3/h, tµu cuèc d­íi 300m3/h</v>
          </cell>
        </row>
        <row r="282">
          <cell r="A282" t="str">
            <v>LT6331</v>
          </cell>
          <cell r="B282">
            <v>1</v>
          </cell>
          <cell r="C282">
            <v>4.16</v>
          </cell>
          <cell r="D282">
            <v>1456000</v>
          </cell>
          <cell r="E282">
            <v>70000</v>
          </cell>
          <cell r="F282">
            <v>378560</v>
          </cell>
          <cell r="G282">
            <v>1904560</v>
          </cell>
          <cell r="H282">
            <v>73252</v>
          </cell>
        </row>
        <row r="283">
          <cell r="A283" t="str">
            <v>LT6332</v>
          </cell>
          <cell r="B283">
            <v>2</v>
          </cell>
          <cell r="C283">
            <v>4.36</v>
          </cell>
          <cell r="D283">
            <v>1526000</v>
          </cell>
          <cell r="E283">
            <v>70000</v>
          </cell>
          <cell r="F283">
            <v>396760</v>
          </cell>
          <cell r="G283">
            <v>1992760</v>
          </cell>
          <cell r="H283">
            <v>76645</v>
          </cell>
        </row>
        <row r="285">
          <cell r="A285" t="str">
            <v>LT6400</v>
          </cell>
          <cell r="B285" t="str">
            <v>4. M¸y 2, kü thuËt viªn cuèc 1</v>
          </cell>
        </row>
        <row r="286">
          <cell r="A286" t="str">
            <v>LT6410</v>
          </cell>
          <cell r="B286" t="str">
            <v>- Tµu hót d­íi 150m3/h</v>
          </cell>
        </row>
        <row r="287">
          <cell r="A287" t="str">
            <v>LT6411</v>
          </cell>
          <cell r="B287">
            <v>1</v>
          </cell>
          <cell r="C287">
            <v>3.48</v>
          </cell>
          <cell r="D287">
            <v>1218000</v>
          </cell>
          <cell r="E287">
            <v>70000</v>
          </cell>
          <cell r="F287">
            <v>316680</v>
          </cell>
          <cell r="G287">
            <v>1604680</v>
          </cell>
          <cell r="H287">
            <v>61718</v>
          </cell>
        </row>
        <row r="288">
          <cell r="A288" t="str">
            <v>LT6412</v>
          </cell>
          <cell r="B288">
            <v>2</v>
          </cell>
          <cell r="C288">
            <v>3.71</v>
          </cell>
          <cell r="D288">
            <v>1298500</v>
          </cell>
          <cell r="E288">
            <v>70000</v>
          </cell>
          <cell r="F288">
            <v>337610</v>
          </cell>
          <cell r="G288">
            <v>1706110</v>
          </cell>
          <cell r="H288">
            <v>65620</v>
          </cell>
        </row>
        <row r="289">
          <cell r="A289" t="str">
            <v>LT6420</v>
          </cell>
          <cell r="B289" t="str">
            <v>- Tµu hót tõ 150m3/h ®Õn 300m3/h</v>
          </cell>
        </row>
        <row r="290">
          <cell r="A290" t="str">
            <v>LT6421</v>
          </cell>
          <cell r="B290">
            <v>1</v>
          </cell>
          <cell r="C290">
            <v>4.09</v>
          </cell>
          <cell r="D290">
            <v>1431500</v>
          </cell>
          <cell r="E290">
            <v>70000</v>
          </cell>
          <cell r="F290">
            <v>372190</v>
          </cell>
          <cell r="G290">
            <v>1873690</v>
          </cell>
          <cell r="H290">
            <v>72065</v>
          </cell>
        </row>
        <row r="291">
          <cell r="A291" t="str">
            <v>LT6422</v>
          </cell>
          <cell r="B291">
            <v>2</v>
          </cell>
          <cell r="C291">
            <v>4.3</v>
          </cell>
          <cell r="D291">
            <v>1505000</v>
          </cell>
          <cell r="E291">
            <v>70000</v>
          </cell>
          <cell r="F291">
            <v>391300</v>
          </cell>
          <cell r="G291">
            <v>1966300</v>
          </cell>
          <cell r="H291">
            <v>75627</v>
          </cell>
        </row>
        <row r="292">
          <cell r="A292" t="str">
            <v>LT6430</v>
          </cell>
          <cell r="B292" t="str">
            <v>- Tµu hót trªn 300m3/h, tµu cuèc d­íi 300m3/h</v>
          </cell>
        </row>
        <row r="293">
          <cell r="A293" t="str">
            <v>LT6431</v>
          </cell>
          <cell r="B293">
            <v>1</v>
          </cell>
          <cell r="C293">
            <v>4.68</v>
          </cell>
          <cell r="D293">
            <v>1638000</v>
          </cell>
          <cell r="E293">
            <v>70000</v>
          </cell>
          <cell r="F293">
            <v>425880</v>
          </cell>
          <cell r="G293">
            <v>2133880</v>
          </cell>
          <cell r="H293">
            <v>82072</v>
          </cell>
        </row>
        <row r="294">
          <cell r="A294" t="str">
            <v>LT6432</v>
          </cell>
          <cell r="B294">
            <v>2</v>
          </cell>
          <cell r="C294">
            <v>4.92</v>
          </cell>
          <cell r="D294">
            <v>1722000</v>
          </cell>
          <cell r="E294">
            <v>70000</v>
          </cell>
          <cell r="F294">
            <v>447720</v>
          </cell>
          <cell r="G294">
            <v>2239720</v>
          </cell>
          <cell r="H294">
            <v>86143</v>
          </cell>
        </row>
        <row r="296">
          <cell r="A296" t="str">
            <v>LT6500</v>
          </cell>
          <cell r="B296" t="str">
            <v>5. M¸y 3, kü thuËt viªn cuèc 2</v>
          </cell>
        </row>
        <row r="297">
          <cell r="A297" t="str">
            <v>LT6510</v>
          </cell>
          <cell r="B297" t="str">
            <v>- Tµu hót d­íi 150m3/h</v>
          </cell>
        </row>
        <row r="298">
          <cell r="A298" t="str">
            <v>LT6511</v>
          </cell>
          <cell r="B298">
            <v>1</v>
          </cell>
          <cell r="C298">
            <v>3.17</v>
          </cell>
          <cell r="D298">
            <v>1109500</v>
          </cell>
          <cell r="E298">
            <v>70000</v>
          </cell>
          <cell r="F298">
            <v>288470</v>
          </cell>
          <cell r="G298">
            <v>1467970</v>
          </cell>
          <cell r="H298">
            <v>56460</v>
          </cell>
        </row>
        <row r="299">
          <cell r="A299" t="str">
            <v>LT6512</v>
          </cell>
          <cell r="B299">
            <v>2</v>
          </cell>
          <cell r="C299">
            <v>3.5</v>
          </cell>
          <cell r="D299">
            <v>1225000</v>
          </cell>
          <cell r="E299">
            <v>70000</v>
          </cell>
          <cell r="F299">
            <v>318500</v>
          </cell>
          <cell r="G299">
            <v>1613500</v>
          </cell>
          <cell r="H299">
            <v>62058</v>
          </cell>
        </row>
        <row r="300">
          <cell r="A300" t="str">
            <v>LT6520</v>
          </cell>
          <cell r="B300" t="str">
            <v>- Tµu hót tõ 150m3/h ®Õn 300m3/h</v>
          </cell>
        </row>
        <row r="301">
          <cell r="A301" t="str">
            <v>LT6521</v>
          </cell>
          <cell r="B301">
            <v>1</v>
          </cell>
          <cell r="C301">
            <v>3.73</v>
          </cell>
          <cell r="D301">
            <v>1305500</v>
          </cell>
          <cell r="E301">
            <v>70000</v>
          </cell>
          <cell r="F301">
            <v>339430</v>
          </cell>
          <cell r="G301">
            <v>1714930</v>
          </cell>
          <cell r="H301">
            <v>65959</v>
          </cell>
        </row>
        <row r="302">
          <cell r="A302" t="str">
            <v>LT6522</v>
          </cell>
          <cell r="B302">
            <v>2</v>
          </cell>
          <cell r="C302">
            <v>3.91</v>
          </cell>
          <cell r="D302">
            <v>1368500</v>
          </cell>
          <cell r="E302">
            <v>70000</v>
          </cell>
          <cell r="F302">
            <v>355810</v>
          </cell>
          <cell r="G302">
            <v>1794310</v>
          </cell>
          <cell r="H302">
            <v>69012</v>
          </cell>
        </row>
        <row r="303">
          <cell r="A303" t="str">
            <v>LT6530</v>
          </cell>
          <cell r="B303" t="str">
            <v>- Tµu hót trªn 300m3/h, tµu cuèc d­íi 300m3/h</v>
          </cell>
        </row>
        <row r="304">
          <cell r="A304" t="str">
            <v>LT6531</v>
          </cell>
          <cell r="B304">
            <v>1</v>
          </cell>
          <cell r="C304">
            <v>4.37</v>
          </cell>
          <cell r="D304">
            <v>1529500</v>
          </cell>
          <cell r="E304">
            <v>70000</v>
          </cell>
          <cell r="F304">
            <v>397670</v>
          </cell>
          <cell r="G304">
            <v>1997170</v>
          </cell>
          <cell r="H304">
            <v>76814</v>
          </cell>
        </row>
        <row r="305">
          <cell r="A305" t="str">
            <v>LT6532</v>
          </cell>
          <cell r="B305">
            <v>2</v>
          </cell>
          <cell r="C305">
            <v>4.68</v>
          </cell>
          <cell r="D305">
            <v>1638000</v>
          </cell>
          <cell r="E305">
            <v>70000</v>
          </cell>
          <cell r="F305">
            <v>425880</v>
          </cell>
          <cell r="G305">
            <v>2133880</v>
          </cell>
          <cell r="H305">
            <v>82072</v>
          </cell>
        </row>
        <row r="307">
          <cell r="A307" t="str">
            <v>LT6600</v>
          </cell>
          <cell r="B307" t="str">
            <v>6. M¸y 4, kü thuËt viªn cuèc 3</v>
          </cell>
        </row>
        <row r="308">
          <cell r="A308" t="str">
            <v>LT6630</v>
          </cell>
          <cell r="B308" t="str">
            <v>- Tµu hót trªn 300m3/h, tµu cuèc d­íi 300m3/h</v>
          </cell>
        </row>
        <row r="309">
          <cell r="A309" t="str">
            <v>LT6631</v>
          </cell>
          <cell r="B309">
            <v>1</v>
          </cell>
          <cell r="C309">
            <v>4.16</v>
          </cell>
          <cell r="D309">
            <v>1456000</v>
          </cell>
          <cell r="E309">
            <v>70000</v>
          </cell>
          <cell r="F309">
            <v>378560</v>
          </cell>
          <cell r="G309">
            <v>1904560</v>
          </cell>
          <cell r="H309">
            <v>73252</v>
          </cell>
        </row>
        <row r="310">
          <cell r="A310" t="str">
            <v>LT6632</v>
          </cell>
          <cell r="B310">
            <v>2</v>
          </cell>
          <cell r="C310">
            <v>4.36</v>
          </cell>
          <cell r="D310">
            <v>1526000</v>
          </cell>
          <cell r="E310">
            <v>70000</v>
          </cell>
          <cell r="F310">
            <v>396760</v>
          </cell>
          <cell r="G310">
            <v>1992760</v>
          </cell>
          <cell r="H310">
            <v>76645</v>
          </cell>
        </row>
        <row r="312">
          <cell r="A312" t="str">
            <v>LT6700</v>
          </cell>
          <cell r="B312" t="str">
            <v>7. Thî m¸y, ®iÖn, ®iÖn b¸o</v>
          </cell>
        </row>
        <row r="313">
          <cell r="A313" t="str">
            <v>LT6701</v>
          </cell>
          <cell r="B313">
            <v>1</v>
          </cell>
          <cell r="C313">
            <v>2.05</v>
          </cell>
          <cell r="D313">
            <v>717499.9999999999</v>
          </cell>
          <cell r="E313">
            <v>70000</v>
          </cell>
          <cell r="F313">
            <v>186550</v>
          </cell>
          <cell r="G313">
            <v>974049.9999999999</v>
          </cell>
          <cell r="H313">
            <v>37463</v>
          </cell>
        </row>
        <row r="314">
          <cell r="A314" t="str">
            <v>LT6702</v>
          </cell>
          <cell r="B314">
            <v>2</v>
          </cell>
          <cell r="C314">
            <v>2.35</v>
          </cell>
          <cell r="D314">
            <v>822500</v>
          </cell>
          <cell r="E314">
            <v>70000</v>
          </cell>
          <cell r="F314">
            <v>213850</v>
          </cell>
          <cell r="G314">
            <v>1106350</v>
          </cell>
          <cell r="H314">
            <v>42552</v>
          </cell>
        </row>
        <row r="315">
          <cell r="A315" t="str">
            <v>LT6703</v>
          </cell>
          <cell r="B315">
            <v>3</v>
          </cell>
          <cell r="C315">
            <v>2.66</v>
          </cell>
          <cell r="D315">
            <v>931000</v>
          </cell>
          <cell r="E315">
            <v>70000</v>
          </cell>
          <cell r="F315">
            <v>242060</v>
          </cell>
          <cell r="G315">
            <v>1243060</v>
          </cell>
          <cell r="H315">
            <v>47810</v>
          </cell>
        </row>
        <row r="316">
          <cell r="A316" t="str">
            <v>LT6704</v>
          </cell>
          <cell r="B316">
            <v>4</v>
          </cell>
          <cell r="C316">
            <v>2.99</v>
          </cell>
          <cell r="D316">
            <v>1046500.0000000001</v>
          </cell>
          <cell r="E316">
            <v>70000</v>
          </cell>
          <cell r="F316">
            <v>272090</v>
          </cell>
          <cell r="G316">
            <v>1388590</v>
          </cell>
          <cell r="H316">
            <v>53407</v>
          </cell>
        </row>
        <row r="318">
          <cell r="A318" t="str">
            <v>LT6800</v>
          </cell>
          <cell r="B318" t="str">
            <v>8. Thuû thñ</v>
          </cell>
        </row>
        <row r="319">
          <cell r="A319" t="str">
            <v>LT6801</v>
          </cell>
          <cell r="B319">
            <v>1</v>
          </cell>
          <cell r="C319">
            <v>1.93</v>
          </cell>
          <cell r="D319">
            <v>675500</v>
          </cell>
          <cell r="E319">
            <v>70000</v>
          </cell>
          <cell r="F319">
            <v>175630</v>
          </cell>
          <cell r="G319">
            <v>921130</v>
          </cell>
          <cell r="H319">
            <v>35428</v>
          </cell>
        </row>
        <row r="320">
          <cell r="A320" t="str">
            <v>LT6802</v>
          </cell>
          <cell r="B320">
            <v>2</v>
          </cell>
          <cell r="C320">
            <v>2.18</v>
          </cell>
          <cell r="D320">
            <v>763000</v>
          </cell>
          <cell r="E320">
            <v>70000</v>
          </cell>
          <cell r="F320">
            <v>198380</v>
          </cell>
          <cell r="G320">
            <v>1031380</v>
          </cell>
          <cell r="H320">
            <v>39668</v>
          </cell>
        </row>
        <row r="321">
          <cell r="A321" t="str">
            <v>LT6803</v>
          </cell>
          <cell r="B321">
            <v>3</v>
          </cell>
          <cell r="C321">
            <v>2.51</v>
          </cell>
          <cell r="D321">
            <v>878499.9999999999</v>
          </cell>
          <cell r="E321">
            <v>70000</v>
          </cell>
          <cell r="F321">
            <v>228410</v>
          </cell>
          <cell r="G321">
            <v>1176910</v>
          </cell>
          <cell r="H321">
            <v>45266</v>
          </cell>
        </row>
        <row r="322">
          <cell r="A322" t="str">
            <v>LT6804</v>
          </cell>
          <cell r="B322">
            <v>4</v>
          </cell>
          <cell r="C322">
            <v>2.83</v>
          </cell>
          <cell r="D322">
            <v>990500</v>
          </cell>
          <cell r="E322">
            <v>70000</v>
          </cell>
          <cell r="F322">
            <v>257530</v>
          </cell>
          <cell r="G322">
            <v>1318030</v>
          </cell>
          <cell r="H322">
            <v>50693</v>
          </cell>
        </row>
        <row r="324">
          <cell r="A324" t="str">
            <v>LT7000</v>
          </cell>
          <cell r="B324" t="str">
            <v>Thî lÆn</v>
          </cell>
        </row>
        <row r="325">
          <cell r="A325" t="str">
            <v>LT7100</v>
          </cell>
          <cell r="B325" t="str">
            <v>Thî lÆn 2 bËc (bËc 1/2)</v>
          </cell>
        </row>
        <row r="326">
          <cell r="A326" t="str">
            <v>LT7101</v>
          </cell>
          <cell r="B326">
            <v>1</v>
          </cell>
          <cell r="C326">
            <v>4.67</v>
          </cell>
          <cell r="D326">
            <v>1634500</v>
          </cell>
          <cell r="E326">
            <v>70000</v>
          </cell>
          <cell r="F326">
            <v>424970</v>
          </cell>
          <cell r="G326">
            <v>2129470</v>
          </cell>
          <cell r="H326">
            <v>81903</v>
          </cell>
        </row>
        <row r="328">
          <cell r="A328" t="str">
            <v>LT7200</v>
          </cell>
          <cell r="B328" t="str">
            <v>Thî lÆn 4 bËc (bËc 2/4)</v>
          </cell>
        </row>
        <row r="329">
          <cell r="A329" t="str">
            <v>LT7202</v>
          </cell>
          <cell r="B329">
            <v>2</v>
          </cell>
          <cell r="C329">
            <v>3.28</v>
          </cell>
          <cell r="D329">
            <v>1148000</v>
          </cell>
          <cell r="E329">
            <v>70000</v>
          </cell>
          <cell r="F329">
            <v>298480</v>
          </cell>
          <cell r="G329">
            <v>1516480</v>
          </cell>
          <cell r="H329">
            <v>58326</v>
          </cell>
        </row>
      </sheetData>
      <sheetData sheetId="33">
        <row r="12">
          <cell r="A12" t="str">
            <v>LM1100</v>
          </cell>
          <cell r="B12" t="str">
            <v>- VËn hµnh c¸c lo¹i m¸y x©y dùng</v>
          </cell>
        </row>
        <row r="13">
          <cell r="A13" t="str">
            <v>LM1101</v>
          </cell>
          <cell r="B13">
            <v>1</v>
          </cell>
          <cell r="C13">
            <v>1.67</v>
          </cell>
          <cell r="D13">
            <v>584500</v>
          </cell>
          <cell r="E13">
            <v>70000</v>
          </cell>
          <cell r="F13">
            <v>151970</v>
          </cell>
          <cell r="G13">
            <v>806470</v>
          </cell>
          <cell r="H13">
            <v>31018</v>
          </cell>
        </row>
        <row r="14">
          <cell r="A14" t="str">
            <v>LM1102</v>
          </cell>
          <cell r="B14">
            <v>2</v>
          </cell>
          <cell r="C14">
            <v>1.96</v>
          </cell>
          <cell r="D14">
            <v>686000</v>
          </cell>
          <cell r="E14">
            <v>70000</v>
          </cell>
          <cell r="F14">
            <v>178360</v>
          </cell>
          <cell r="G14">
            <v>934360</v>
          </cell>
          <cell r="H14">
            <v>35937</v>
          </cell>
        </row>
        <row r="15">
          <cell r="A15" t="str">
            <v>LM1103</v>
          </cell>
          <cell r="B15">
            <v>3</v>
          </cell>
          <cell r="C15">
            <v>2.31</v>
          </cell>
          <cell r="D15">
            <v>808500</v>
          </cell>
          <cell r="E15">
            <v>70000</v>
          </cell>
          <cell r="F15">
            <v>210210</v>
          </cell>
          <cell r="G15">
            <v>1088710</v>
          </cell>
          <cell r="H15">
            <v>41873</v>
          </cell>
        </row>
        <row r="16">
          <cell r="A16" t="str">
            <v>LM1104</v>
          </cell>
          <cell r="B16">
            <v>4</v>
          </cell>
          <cell r="C16">
            <v>2.71</v>
          </cell>
          <cell r="D16">
            <v>948500</v>
          </cell>
          <cell r="E16">
            <v>70000</v>
          </cell>
          <cell r="F16">
            <v>246610</v>
          </cell>
          <cell r="G16">
            <v>1265110</v>
          </cell>
          <cell r="H16">
            <v>48658</v>
          </cell>
        </row>
        <row r="17">
          <cell r="A17" t="str">
            <v>LM1105</v>
          </cell>
          <cell r="B17">
            <v>5</v>
          </cell>
          <cell r="C17">
            <v>3.19</v>
          </cell>
          <cell r="D17">
            <v>1116500</v>
          </cell>
          <cell r="E17">
            <v>70000</v>
          </cell>
          <cell r="F17">
            <v>290290</v>
          </cell>
          <cell r="G17">
            <v>1476790</v>
          </cell>
          <cell r="H17">
            <v>56800</v>
          </cell>
        </row>
        <row r="18">
          <cell r="A18" t="str">
            <v>LM1106</v>
          </cell>
          <cell r="B18">
            <v>6</v>
          </cell>
          <cell r="C18">
            <v>3.74</v>
          </cell>
          <cell r="D18">
            <v>1309000</v>
          </cell>
          <cell r="E18">
            <v>70000</v>
          </cell>
          <cell r="F18">
            <v>340340</v>
          </cell>
          <cell r="G18">
            <v>1719340</v>
          </cell>
          <cell r="H18">
            <v>66128</v>
          </cell>
        </row>
        <row r="19">
          <cell r="A19" t="str">
            <v>LM1107</v>
          </cell>
          <cell r="B19">
            <v>7</v>
          </cell>
          <cell r="C19">
            <v>4.4</v>
          </cell>
          <cell r="D19">
            <v>1540000.0000000002</v>
          </cell>
          <cell r="E19">
            <v>70000</v>
          </cell>
          <cell r="F19">
            <v>400400</v>
          </cell>
          <cell r="G19">
            <v>2010400.0000000002</v>
          </cell>
          <cell r="H19">
            <v>77323</v>
          </cell>
        </row>
        <row r="21">
          <cell r="A21" t="str">
            <v>LX1000</v>
          </cell>
          <cell r="B21" t="str">
            <v>C«ng nh©n l¸i xe - B.12 (trang115)</v>
          </cell>
        </row>
        <row r="23">
          <cell r="A23" t="str">
            <v>LX1100</v>
          </cell>
          <cell r="B23" t="str">
            <v>1. Xe con, taxi, xe t¶i, xe cÈu d­íi 3,5 TÊn, xe kh¸ch d­íi 20 ghÕ</v>
          </cell>
        </row>
        <row r="24">
          <cell r="A24" t="str">
            <v>LX1101</v>
          </cell>
          <cell r="B24">
            <v>1</v>
          </cell>
          <cell r="C24">
            <v>2.18</v>
          </cell>
          <cell r="D24">
            <v>763000</v>
          </cell>
          <cell r="E24">
            <v>70000</v>
          </cell>
          <cell r="F24">
            <v>198380</v>
          </cell>
          <cell r="G24">
            <v>1031380</v>
          </cell>
          <cell r="H24">
            <v>39668</v>
          </cell>
        </row>
        <row r="25">
          <cell r="A25" t="str">
            <v>LX1102</v>
          </cell>
          <cell r="B25">
            <v>2</v>
          </cell>
          <cell r="C25">
            <v>2.57</v>
          </cell>
          <cell r="D25">
            <v>899500</v>
          </cell>
          <cell r="E25">
            <v>70000</v>
          </cell>
          <cell r="F25">
            <v>233870</v>
          </cell>
          <cell r="G25">
            <v>1203370</v>
          </cell>
          <cell r="H25">
            <v>46283</v>
          </cell>
        </row>
        <row r="26">
          <cell r="A26" t="str">
            <v>LX1103</v>
          </cell>
          <cell r="B26">
            <v>3</v>
          </cell>
          <cell r="C26">
            <v>3.05</v>
          </cell>
          <cell r="D26">
            <v>1067500</v>
          </cell>
          <cell r="E26">
            <v>70000</v>
          </cell>
          <cell r="F26">
            <v>277550</v>
          </cell>
          <cell r="G26">
            <v>1415050</v>
          </cell>
          <cell r="H26">
            <v>54425</v>
          </cell>
        </row>
        <row r="27">
          <cell r="A27" t="str">
            <v>LX1104</v>
          </cell>
          <cell r="B27">
            <v>4</v>
          </cell>
          <cell r="C27">
            <v>3.6</v>
          </cell>
          <cell r="D27">
            <v>1260000</v>
          </cell>
          <cell r="E27">
            <v>70000</v>
          </cell>
          <cell r="F27">
            <v>327600</v>
          </cell>
          <cell r="G27">
            <v>1657600</v>
          </cell>
          <cell r="H27">
            <v>63754</v>
          </cell>
        </row>
        <row r="29">
          <cell r="A29" t="str">
            <v>LX1200</v>
          </cell>
          <cell r="B29" t="str">
            <v>2. Xe t¶i, xe cÈu tõ 3,5 TÊn ®Õn d­íi 7,5 TÊn, xe kh¸ch tõ 20 ghÕ ®Õn d­íi 40 ghÕ</v>
          </cell>
        </row>
        <row r="30">
          <cell r="A30" t="str">
            <v>LX1201</v>
          </cell>
          <cell r="B30">
            <v>1</v>
          </cell>
          <cell r="C30">
            <v>2.35</v>
          </cell>
          <cell r="D30">
            <v>822500</v>
          </cell>
          <cell r="E30">
            <v>70000</v>
          </cell>
          <cell r="F30">
            <v>213850</v>
          </cell>
          <cell r="G30">
            <v>1106350</v>
          </cell>
          <cell r="H30">
            <v>42552</v>
          </cell>
        </row>
        <row r="31">
          <cell r="A31" t="str">
            <v>LX1202</v>
          </cell>
          <cell r="B31">
            <v>2</v>
          </cell>
          <cell r="C31">
            <v>2.76</v>
          </cell>
          <cell r="D31">
            <v>965999.9999999999</v>
          </cell>
          <cell r="E31">
            <v>70000</v>
          </cell>
          <cell r="F31">
            <v>251160</v>
          </cell>
          <cell r="G31">
            <v>1287160</v>
          </cell>
          <cell r="H31">
            <v>49506</v>
          </cell>
        </row>
        <row r="32">
          <cell r="A32" t="str">
            <v>LX1203</v>
          </cell>
          <cell r="B32">
            <v>3</v>
          </cell>
          <cell r="C32">
            <v>3.25</v>
          </cell>
          <cell r="D32">
            <v>1137500</v>
          </cell>
          <cell r="E32">
            <v>70000</v>
          </cell>
          <cell r="F32">
            <v>295750</v>
          </cell>
          <cell r="G32">
            <v>1503250</v>
          </cell>
          <cell r="H32">
            <v>57817</v>
          </cell>
        </row>
        <row r="33">
          <cell r="A33" t="str">
            <v>LX1204</v>
          </cell>
          <cell r="B33">
            <v>4</v>
          </cell>
          <cell r="C33">
            <v>3.82</v>
          </cell>
          <cell r="D33">
            <v>1337000</v>
          </cell>
          <cell r="E33">
            <v>70000</v>
          </cell>
          <cell r="F33">
            <v>347620</v>
          </cell>
          <cell r="G33">
            <v>1754620</v>
          </cell>
          <cell r="H33">
            <v>67485</v>
          </cell>
        </row>
        <row r="35">
          <cell r="A35" t="str">
            <v>LX1300</v>
          </cell>
          <cell r="B35" t="str">
            <v>3. Xe t¶i, xe cÈu tõ 7,5 TÊn ®Õn d­íi 16,5 TÊn, xe kh¸ch tõ 40 ghÕ ®Õn d­íi 60 ghÕ</v>
          </cell>
        </row>
        <row r="36">
          <cell r="A36" t="str">
            <v>LX1301</v>
          </cell>
          <cell r="B36">
            <v>1</v>
          </cell>
          <cell r="C36">
            <v>2.51</v>
          </cell>
          <cell r="D36">
            <v>878499.9999999999</v>
          </cell>
          <cell r="E36">
            <v>70000</v>
          </cell>
          <cell r="F36">
            <v>228410</v>
          </cell>
          <cell r="G36">
            <v>1176910</v>
          </cell>
          <cell r="H36">
            <v>45266</v>
          </cell>
        </row>
        <row r="37">
          <cell r="A37" t="str">
            <v>LX1302</v>
          </cell>
          <cell r="B37">
            <v>2</v>
          </cell>
          <cell r="C37">
            <v>2.94</v>
          </cell>
          <cell r="D37">
            <v>1029000</v>
          </cell>
          <cell r="E37">
            <v>70000</v>
          </cell>
          <cell r="F37">
            <v>267540</v>
          </cell>
          <cell r="G37">
            <v>1366540</v>
          </cell>
          <cell r="H37">
            <v>52559</v>
          </cell>
        </row>
        <row r="38">
          <cell r="A38" t="str">
            <v>LX1303</v>
          </cell>
          <cell r="B38">
            <v>3</v>
          </cell>
          <cell r="C38">
            <v>3.44</v>
          </cell>
          <cell r="D38">
            <v>1204000</v>
          </cell>
          <cell r="E38">
            <v>70000</v>
          </cell>
          <cell r="F38">
            <v>313040</v>
          </cell>
          <cell r="G38">
            <v>1587040</v>
          </cell>
          <cell r="H38">
            <v>61040</v>
          </cell>
        </row>
        <row r="39">
          <cell r="A39" t="str">
            <v>LX1304</v>
          </cell>
          <cell r="B39">
            <v>4</v>
          </cell>
          <cell r="C39">
            <v>4.05</v>
          </cell>
          <cell r="D39">
            <v>1417500</v>
          </cell>
          <cell r="E39">
            <v>70000</v>
          </cell>
          <cell r="F39">
            <v>368550</v>
          </cell>
          <cell r="G39">
            <v>1856050</v>
          </cell>
          <cell r="H39">
            <v>71387</v>
          </cell>
        </row>
        <row r="41">
          <cell r="A41" t="str">
            <v>LX1400</v>
          </cell>
          <cell r="B41" t="str">
            <v>4. Xe t¶i, xe cÈu tõ 16,5 TÊn ®Õn d­íi 25 TÊn, xe kh¸ch tõ 60 ghÕ ®Õn d­íi 80 ghÕ</v>
          </cell>
        </row>
        <row r="42">
          <cell r="A42" t="str">
            <v>LX1401</v>
          </cell>
          <cell r="B42">
            <v>1</v>
          </cell>
          <cell r="C42">
            <v>2.66</v>
          </cell>
          <cell r="D42">
            <v>931000</v>
          </cell>
          <cell r="E42">
            <v>70000</v>
          </cell>
          <cell r="F42">
            <v>242060</v>
          </cell>
          <cell r="G42">
            <v>1243060</v>
          </cell>
          <cell r="H42">
            <v>47810</v>
          </cell>
        </row>
        <row r="43">
          <cell r="A43" t="str">
            <v>LX1402</v>
          </cell>
          <cell r="B43">
            <v>2</v>
          </cell>
          <cell r="C43">
            <v>3.11</v>
          </cell>
          <cell r="D43">
            <v>1088500</v>
          </cell>
          <cell r="E43">
            <v>70000</v>
          </cell>
          <cell r="F43">
            <v>283010</v>
          </cell>
          <cell r="G43">
            <v>1441510</v>
          </cell>
          <cell r="H43">
            <v>55443</v>
          </cell>
        </row>
        <row r="44">
          <cell r="A44" t="str">
            <v>LX1403</v>
          </cell>
          <cell r="B44">
            <v>3</v>
          </cell>
          <cell r="C44">
            <v>3.64</v>
          </cell>
          <cell r="D44">
            <v>1274000</v>
          </cell>
          <cell r="E44">
            <v>70000</v>
          </cell>
          <cell r="F44">
            <v>331240</v>
          </cell>
          <cell r="G44">
            <v>1675240</v>
          </cell>
          <cell r="H44">
            <v>64432</v>
          </cell>
        </row>
        <row r="45">
          <cell r="A45" t="str">
            <v>LX1404</v>
          </cell>
          <cell r="B45">
            <v>4</v>
          </cell>
          <cell r="C45">
            <v>4.2</v>
          </cell>
          <cell r="D45">
            <v>1470000</v>
          </cell>
          <cell r="E45">
            <v>70000</v>
          </cell>
          <cell r="F45">
            <v>382200</v>
          </cell>
          <cell r="G45">
            <v>1922200</v>
          </cell>
          <cell r="H45">
            <v>73931</v>
          </cell>
        </row>
        <row r="47">
          <cell r="A47" t="str">
            <v>LX1500</v>
          </cell>
          <cell r="B47" t="str">
            <v>5. Xe t¶i, xe cÈu tõ 25 TÊn ®Õn d­íi 40 TÊn, xe kh¸ch tõ 80 ghÕ trë lªn</v>
          </cell>
        </row>
        <row r="48">
          <cell r="A48" t="str">
            <v>LX1501</v>
          </cell>
          <cell r="B48">
            <v>1</v>
          </cell>
          <cell r="C48">
            <v>2.99</v>
          </cell>
          <cell r="D48">
            <v>1046500.0000000001</v>
          </cell>
          <cell r="E48">
            <v>70000</v>
          </cell>
          <cell r="F48">
            <v>272090</v>
          </cell>
          <cell r="G48">
            <v>1388590</v>
          </cell>
          <cell r="H48">
            <v>53407</v>
          </cell>
        </row>
        <row r="49">
          <cell r="A49" t="str">
            <v>LX1502</v>
          </cell>
          <cell r="B49">
            <v>2</v>
          </cell>
          <cell r="C49">
            <v>3.5</v>
          </cell>
          <cell r="D49">
            <v>1225000</v>
          </cell>
          <cell r="E49">
            <v>70000</v>
          </cell>
          <cell r="F49">
            <v>318500</v>
          </cell>
          <cell r="G49">
            <v>1613500</v>
          </cell>
          <cell r="H49">
            <v>62058</v>
          </cell>
        </row>
        <row r="50">
          <cell r="A50" t="str">
            <v>LX1503</v>
          </cell>
          <cell r="B50">
            <v>3</v>
          </cell>
          <cell r="C50">
            <v>4.11</v>
          </cell>
          <cell r="D50">
            <v>1438500</v>
          </cell>
          <cell r="E50">
            <v>70000</v>
          </cell>
          <cell r="F50">
            <v>374010</v>
          </cell>
          <cell r="G50">
            <v>1882510</v>
          </cell>
          <cell r="H50">
            <v>72404</v>
          </cell>
        </row>
        <row r="51">
          <cell r="A51" t="str">
            <v>LX1504</v>
          </cell>
          <cell r="B51">
            <v>4</v>
          </cell>
          <cell r="C51">
            <v>4.82</v>
          </cell>
          <cell r="D51">
            <v>1687000</v>
          </cell>
          <cell r="E51">
            <v>70000</v>
          </cell>
          <cell r="F51">
            <v>438620</v>
          </cell>
          <cell r="G51">
            <v>2195620</v>
          </cell>
          <cell r="H51">
            <v>84447</v>
          </cell>
        </row>
        <row r="53">
          <cell r="A53" t="str">
            <v>LX1600</v>
          </cell>
          <cell r="B53" t="str">
            <v>6. Xe t¶i, xe cÈu tõ 40 TÊn trë lªn </v>
          </cell>
        </row>
        <row r="54">
          <cell r="A54" t="str">
            <v>LX1601</v>
          </cell>
          <cell r="B54">
            <v>1</v>
          </cell>
          <cell r="C54">
            <v>3.2</v>
          </cell>
          <cell r="D54">
            <v>1120000</v>
          </cell>
          <cell r="E54">
            <v>70000</v>
          </cell>
          <cell r="F54">
            <v>291200</v>
          </cell>
          <cell r="G54">
            <v>1481200</v>
          </cell>
          <cell r="H54">
            <v>56969</v>
          </cell>
        </row>
        <row r="55">
          <cell r="A55" t="str">
            <v>LX1602</v>
          </cell>
          <cell r="B55">
            <v>2</v>
          </cell>
          <cell r="C55">
            <v>3.75</v>
          </cell>
          <cell r="D55">
            <v>1312500</v>
          </cell>
          <cell r="E55">
            <v>70000</v>
          </cell>
          <cell r="F55">
            <v>341250</v>
          </cell>
          <cell r="G55">
            <v>1723750</v>
          </cell>
          <cell r="H55">
            <v>66298</v>
          </cell>
        </row>
        <row r="56">
          <cell r="A56" t="str">
            <v>LX1603</v>
          </cell>
          <cell r="B56">
            <v>3</v>
          </cell>
          <cell r="C56">
            <v>4.39</v>
          </cell>
          <cell r="D56">
            <v>1536500</v>
          </cell>
          <cell r="E56">
            <v>70000</v>
          </cell>
          <cell r="F56">
            <v>399490</v>
          </cell>
          <cell r="G56">
            <v>2005990</v>
          </cell>
          <cell r="H56">
            <v>77153</v>
          </cell>
        </row>
        <row r="57">
          <cell r="A57" t="str">
            <v>LX1604</v>
          </cell>
          <cell r="B57">
            <v>4</v>
          </cell>
          <cell r="C57">
            <v>5.15</v>
          </cell>
          <cell r="D57">
            <v>1802500.0000000002</v>
          </cell>
          <cell r="E57">
            <v>70000</v>
          </cell>
          <cell r="F57">
            <v>468650</v>
          </cell>
          <cell r="G57">
            <v>2341150</v>
          </cell>
          <cell r="H57">
            <v>90044</v>
          </cell>
        </row>
      </sheetData>
      <sheetData sheetId="34">
        <row r="21">
          <cell r="A21" t="str">
            <v>LT1100</v>
          </cell>
          <cell r="B21" t="str">
            <v>1. ThuyÒn tr­ëng</v>
          </cell>
        </row>
        <row r="22">
          <cell r="A22" t="str">
            <v>LT1110</v>
          </cell>
          <cell r="B22" t="str">
            <v>- Nhãm I</v>
          </cell>
        </row>
        <row r="23">
          <cell r="A23" t="str">
            <v>LT1111</v>
          </cell>
          <cell r="B23">
            <v>1</v>
          </cell>
          <cell r="C23">
            <v>2.81</v>
          </cell>
          <cell r="D23">
            <v>2051300</v>
          </cell>
          <cell r="E23">
            <v>146000</v>
          </cell>
          <cell r="F23">
            <v>533338</v>
          </cell>
          <cell r="G23">
            <v>2730638</v>
          </cell>
          <cell r="H23">
            <v>105025</v>
          </cell>
        </row>
        <row r="24">
          <cell r="A24" t="str">
            <v>LT1112</v>
          </cell>
          <cell r="B24">
            <v>2</v>
          </cell>
          <cell r="C24">
            <v>2.99</v>
          </cell>
          <cell r="D24">
            <v>2182700</v>
          </cell>
          <cell r="E24">
            <v>146000</v>
          </cell>
          <cell r="F24">
            <v>567502</v>
          </cell>
          <cell r="G24">
            <v>2896202</v>
          </cell>
          <cell r="H24">
            <v>111392</v>
          </cell>
        </row>
        <row r="25">
          <cell r="A25" t="str">
            <v>LT1120</v>
          </cell>
          <cell r="B25" t="str">
            <v>- Nhãm II</v>
          </cell>
        </row>
        <row r="26">
          <cell r="A26" t="str">
            <v>LT1121</v>
          </cell>
          <cell r="B26">
            <v>1</v>
          </cell>
          <cell r="C26">
            <v>3.73</v>
          </cell>
          <cell r="D26">
            <v>2722900</v>
          </cell>
          <cell r="E26">
            <v>146000</v>
          </cell>
          <cell r="F26">
            <v>707954</v>
          </cell>
          <cell r="G26">
            <v>3576854</v>
          </cell>
          <cell r="H26">
            <v>137571</v>
          </cell>
        </row>
        <row r="27">
          <cell r="A27" t="str">
            <v>LT1122</v>
          </cell>
          <cell r="B27">
            <v>2</v>
          </cell>
          <cell r="C27">
            <v>3.91</v>
          </cell>
          <cell r="D27">
            <v>2854300</v>
          </cell>
          <cell r="E27">
            <v>146000</v>
          </cell>
          <cell r="F27">
            <v>742118</v>
          </cell>
          <cell r="G27">
            <v>3742418</v>
          </cell>
          <cell r="H27">
            <v>143939</v>
          </cell>
        </row>
        <row r="28">
          <cell r="A28" t="str">
            <v>LT1130</v>
          </cell>
          <cell r="B28" t="str">
            <v>- Nhãm III</v>
          </cell>
        </row>
        <row r="29">
          <cell r="A29" t="str">
            <v>LT1131</v>
          </cell>
          <cell r="B29">
            <v>1</v>
          </cell>
          <cell r="C29">
            <v>4.14</v>
          </cell>
          <cell r="D29">
            <v>3022199.9999999995</v>
          </cell>
          <cell r="E29">
            <v>146000</v>
          </cell>
          <cell r="F29">
            <v>785772</v>
          </cell>
          <cell r="G29">
            <v>3953971.9999999995</v>
          </cell>
          <cell r="H29">
            <v>152076</v>
          </cell>
        </row>
        <row r="30">
          <cell r="A30" t="str">
            <v>LT1132</v>
          </cell>
          <cell r="B30">
            <v>2</v>
          </cell>
          <cell r="C30">
            <v>4.36</v>
          </cell>
          <cell r="D30">
            <v>3182800.0000000005</v>
          </cell>
          <cell r="E30">
            <v>146000</v>
          </cell>
          <cell r="F30">
            <v>827528</v>
          </cell>
          <cell r="G30">
            <v>4156328.0000000005</v>
          </cell>
          <cell r="H30">
            <v>159859</v>
          </cell>
        </row>
        <row r="31">
          <cell r="A31" t="str">
            <v>LT1140</v>
          </cell>
          <cell r="B31" t="str">
            <v>- Nhãm IV</v>
          </cell>
        </row>
        <row r="32">
          <cell r="A32" t="str">
            <v>LT1141</v>
          </cell>
          <cell r="B32">
            <v>1</v>
          </cell>
          <cell r="C32">
            <v>4.68</v>
          </cell>
          <cell r="D32">
            <v>3416400</v>
          </cell>
          <cell r="E32">
            <v>146000</v>
          </cell>
          <cell r="F32">
            <v>888264</v>
          </cell>
          <cell r="G32">
            <v>4450664</v>
          </cell>
          <cell r="H32">
            <v>171179</v>
          </cell>
        </row>
        <row r="33">
          <cell r="A33" t="str">
            <v>LT1142</v>
          </cell>
          <cell r="B33">
            <v>2</v>
          </cell>
          <cell r="C33">
            <v>4.92</v>
          </cell>
          <cell r="D33">
            <v>3591600</v>
          </cell>
          <cell r="E33">
            <v>146000</v>
          </cell>
          <cell r="F33">
            <v>933816</v>
          </cell>
          <cell r="G33">
            <v>4671416</v>
          </cell>
          <cell r="H33">
            <v>179670</v>
          </cell>
        </row>
        <row r="35">
          <cell r="A35" t="str">
            <v>LT1200</v>
          </cell>
          <cell r="B35" t="str">
            <v>2. §¹i phã, m¸y tr­ëng</v>
          </cell>
        </row>
        <row r="36">
          <cell r="A36" t="str">
            <v>LT1210</v>
          </cell>
          <cell r="B36" t="str">
            <v>- Nhãm I</v>
          </cell>
        </row>
        <row r="37">
          <cell r="A37" t="str">
            <v>LT1211</v>
          </cell>
          <cell r="B37">
            <v>1</v>
          </cell>
          <cell r="C37">
            <v>2.51</v>
          </cell>
          <cell r="D37">
            <v>1832299.9999999998</v>
          </cell>
          <cell r="E37">
            <v>146000</v>
          </cell>
          <cell r="F37">
            <v>476398</v>
          </cell>
          <cell r="G37">
            <v>2454698</v>
          </cell>
          <cell r="H37">
            <v>94411</v>
          </cell>
        </row>
        <row r="38">
          <cell r="A38" t="str">
            <v>LT1212</v>
          </cell>
          <cell r="B38">
            <v>2</v>
          </cell>
          <cell r="C38">
            <v>2.66</v>
          </cell>
          <cell r="D38">
            <v>1941800</v>
          </cell>
          <cell r="E38">
            <v>146000</v>
          </cell>
          <cell r="F38">
            <v>504868</v>
          </cell>
          <cell r="G38">
            <v>2592668</v>
          </cell>
          <cell r="H38">
            <v>99718</v>
          </cell>
        </row>
        <row r="39">
          <cell r="A39" t="str">
            <v>LT1220</v>
          </cell>
          <cell r="B39" t="str">
            <v>- Nhãm II</v>
          </cell>
        </row>
        <row r="40">
          <cell r="A40" t="str">
            <v>LT1221</v>
          </cell>
          <cell r="B40">
            <v>1</v>
          </cell>
          <cell r="C40">
            <v>3.17</v>
          </cell>
          <cell r="D40">
            <v>2314100</v>
          </cell>
          <cell r="E40">
            <v>146000</v>
          </cell>
          <cell r="F40">
            <v>601666</v>
          </cell>
          <cell r="G40">
            <v>3061766</v>
          </cell>
          <cell r="H40">
            <v>117760</v>
          </cell>
        </row>
        <row r="41">
          <cell r="A41" t="str">
            <v>LT1222</v>
          </cell>
          <cell r="B41">
            <v>2</v>
          </cell>
          <cell r="C41">
            <v>3.3</v>
          </cell>
          <cell r="D41">
            <v>2409000</v>
          </cell>
          <cell r="E41">
            <v>146000</v>
          </cell>
          <cell r="F41">
            <v>626340</v>
          </cell>
          <cell r="G41">
            <v>3181340</v>
          </cell>
          <cell r="H41">
            <v>122359</v>
          </cell>
        </row>
        <row r="42">
          <cell r="A42" t="str">
            <v>LT1230</v>
          </cell>
          <cell r="B42" t="str">
            <v>- Nhãm III</v>
          </cell>
        </row>
        <row r="43">
          <cell r="A43" t="str">
            <v>LT1231</v>
          </cell>
          <cell r="B43">
            <v>1</v>
          </cell>
          <cell r="C43">
            <v>3.55</v>
          </cell>
          <cell r="D43">
            <v>2591500</v>
          </cell>
          <cell r="E43">
            <v>146000</v>
          </cell>
          <cell r="F43">
            <v>673790</v>
          </cell>
          <cell r="G43">
            <v>3411290</v>
          </cell>
          <cell r="H43">
            <v>131203</v>
          </cell>
        </row>
        <row r="44">
          <cell r="A44" t="str">
            <v>LT1232</v>
          </cell>
          <cell r="B44">
            <v>2</v>
          </cell>
          <cell r="C44">
            <v>3.76</v>
          </cell>
          <cell r="D44">
            <v>2744800</v>
          </cell>
          <cell r="E44">
            <v>146000</v>
          </cell>
          <cell r="F44">
            <v>713648</v>
          </cell>
          <cell r="G44">
            <v>3604448</v>
          </cell>
          <cell r="H44">
            <v>138633</v>
          </cell>
        </row>
        <row r="45">
          <cell r="A45" t="str">
            <v>LT1240</v>
          </cell>
          <cell r="B45" t="str">
            <v>- Nhãm IV</v>
          </cell>
        </row>
        <row r="46">
          <cell r="A46" t="str">
            <v>LT1241</v>
          </cell>
          <cell r="B46">
            <v>1</v>
          </cell>
          <cell r="C46">
            <v>4.16</v>
          </cell>
          <cell r="D46">
            <v>3036800</v>
          </cell>
          <cell r="E46">
            <v>146000</v>
          </cell>
          <cell r="F46">
            <v>789568</v>
          </cell>
          <cell r="G46">
            <v>3972368</v>
          </cell>
          <cell r="H46">
            <v>152783</v>
          </cell>
        </row>
        <row r="47">
          <cell r="A47" t="str">
            <v>LT1242</v>
          </cell>
          <cell r="B47">
            <v>2</v>
          </cell>
          <cell r="C47">
            <v>4.37</v>
          </cell>
          <cell r="D47">
            <v>3190100</v>
          </cell>
          <cell r="E47">
            <v>146000</v>
          </cell>
          <cell r="F47">
            <v>829426</v>
          </cell>
          <cell r="G47">
            <v>4165526</v>
          </cell>
          <cell r="H47">
            <v>160213</v>
          </cell>
        </row>
        <row r="49">
          <cell r="A49" t="str">
            <v>LT1300</v>
          </cell>
          <cell r="B49" t="str">
            <v>3. ThuyÒn phã 2, m¸y 2</v>
          </cell>
        </row>
        <row r="50">
          <cell r="A50" t="str">
            <v>LT1320</v>
          </cell>
          <cell r="B50" t="str">
            <v>- Nhãm II</v>
          </cell>
        </row>
        <row r="51">
          <cell r="A51" t="str">
            <v>LT1321</v>
          </cell>
          <cell r="B51">
            <v>1</v>
          </cell>
          <cell r="C51">
            <v>2.66</v>
          </cell>
          <cell r="D51">
            <v>1941800</v>
          </cell>
          <cell r="E51">
            <v>146000</v>
          </cell>
          <cell r="F51">
            <v>504868</v>
          </cell>
          <cell r="G51">
            <v>2592668</v>
          </cell>
          <cell r="H51">
            <v>99718</v>
          </cell>
        </row>
        <row r="52">
          <cell r="A52" t="str">
            <v>LT1322</v>
          </cell>
          <cell r="B52">
            <v>2</v>
          </cell>
          <cell r="C52">
            <v>2.81</v>
          </cell>
          <cell r="D52">
            <v>2051300</v>
          </cell>
          <cell r="E52">
            <v>146000</v>
          </cell>
          <cell r="F52">
            <v>533338</v>
          </cell>
          <cell r="G52">
            <v>2730638</v>
          </cell>
          <cell r="H52">
            <v>105025</v>
          </cell>
        </row>
        <row r="53">
          <cell r="A53" t="str">
            <v>LT1330</v>
          </cell>
          <cell r="B53" t="str">
            <v>- Nhãm III</v>
          </cell>
        </row>
        <row r="54">
          <cell r="A54" t="str">
            <v>LT1331</v>
          </cell>
          <cell r="B54">
            <v>1</v>
          </cell>
          <cell r="C54">
            <v>2.93</v>
          </cell>
          <cell r="D54">
            <v>2138900</v>
          </cell>
          <cell r="E54">
            <v>146000</v>
          </cell>
          <cell r="F54">
            <v>556114</v>
          </cell>
          <cell r="G54">
            <v>2841014</v>
          </cell>
          <cell r="H54">
            <v>109270</v>
          </cell>
        </row>
        <row r="55">
          <cell r="A55" t="str">
            <v>LT1332</v>
          </cell>
          <cell r="B55">
            <v>2</v>
          </cell>
          <cell r="C55">
            <v>3.1</v>
          </cell>
          <cell r="D55">
            <v>2263000</v>
          </cell>
          <cell r="E55">
            <v>146000</v>
          </cell>
          <cell r="F55">
            <v>588380</v>
          </cell>
          <cell r="G55">
            <v>2997380</v>
          </cell>
          <cell r="H55">
            <v>115284</v>
          </cell>
        </row>
        <row r="56">
          <cell r="A56" t="str">
            <v>LT1340</v>
          </cell>
          <cell r="B56" t="str">
            <v>- Nhãm IV</v>
          </cell>
        </row>
        <row r="57">
          <cell r="A57" t="str">
            <v>LT1341</v>
          </cell>
          <cell r="B57">
            <v>1</v>
          </cell>
          <cell r="C57">
            <v>3.55</v>
          </cell>
          <cell r="D57">
            <v>2591500</v>
          </cell>
          <cell r="E57">
            <v>146000</v>
          </cell>
          <cell r="F57">
            <v>673790</v>
          </cell>
          <cell r="G57">
            <v>3411290</v>
          </cell>
          <cell r="H57">
            <v>131203</v>
          </cell>
        </row>
        <row r="58">
          <cell r="A58" t="str">
            <v>LT1342</v>
          </cell>
          <cell r="B58">
            <v>2</v>
          </cell>
          <cell r="C58">
            <v>3.76</v>
          </cell>
          <cell r="D58">
            <v>2744800</v>
          </cell>
          <cell r="E58">
            <v>146000</v>
          </cell>
          <cell r="F58">
            <v>713648</v>
          </cell>
          <cell r="G58">
            <v>3604448</v>
          </cell>
          <cell r="H58">
            <v>138633</v>
          </cell>
        </row>
        <row r="60">
          <cell r="A60" t="str">
            <v>LT2000</v>
          </cell>
          <cell r="B60" t="str">
            <v>tµu vËn t¶i s«ng kh«ng theo nhãm tµu - b.2 (trang 97)</v>
          </cell>
        </row>
        <row r="62">
          <cell r="A62" t="str">
            <v>LT2100</v>
          </cell>
          <cell r="B62" t="str">
            <v>1. Thñy thñ</v>
          </cell>
        </row>
        <row r="63">
          <cell r="A63" t="str">
            <v>LT2110</v>
          </cell>
          <cell r="B63" t="str">
            <v>- Nhãm I (vËn t¶i däc s«ng)</v>
          </cell>
        </row>
        <row r="64">
          <cell r="A64" t="str">
            <v>LT2111</v>
          </cell>
          <cell r="B64">
            <v>1</v>
          </cell>
          <cell r="C64">
            <v>1.93</v>
          </cell>
          <cell r="D64">
            <v>1408900</v>
          </cell>
          <cell r="E64">
            <v>146000</v>
          </cell>
          <cell r="F64">
            <v>366314</v>
          </cell>
          <cell r="G64">
            <v>1921214</v>
          </cell>
          <cell r="H64">
            <v>73893</v>
          </cell>
        </row>
        <row r="65">
          <cell r="A65" t="str">
            <v>LT2112</v>
          </cell>
          <cell r="B65">
            <v>2</v>
          </cell>
          <cell r="C65">
            <v>2.18</v>
          </cell>
          <cell r="D65">
            <v>1591400.0000000002</v>
          </cell>
          <cell r="E65">
            <v>146000</v>
          </cell>
          <cell r="F65">
            <v>413764</v>
          </cell>
          <cell r="G65">
            <v>2151164</v>
          </cell>
          <cell r="H65">
            <v>82737</v>
          </cell>
        </row>
        <row r="66">
          <cell r="A66" t="str">
            <v>LT2113</v>
          </cell>
          <cell r="B66">
            <v>3</v>
          </cell>
          <cell r="C66">
            <v>2.51</v>
          </cell>
          <cell r="D66">
            <v>1832299.9999999998</v>
          </cell>
          <cell r="E66">
            <v>146000</v>
          </cell>
          <cell r="F66">
            <v>476398</v>
          </cell>
          <cell r="G66">
            <v>2454698</v>
          </cell>
          <cell r="H66">
            <v>94411</v>
          </cell>
        </row>
        <row r="67">
          <cell r="A67" t="str">
            <v>LT2114</v>
          </cell>
          <cell r="B67">
            <v>4</v>
          </cell>
          <cell r="C67">
            <v>2.83</v>
          </cell>
          <cell r="D67">
            <v>2065900</v>
          </cell>
          <cell r="E67">
            <v>146000</v>
          </cell>
          <cell r="F67">
            <v>537134</v>
          </cell>
          <cell r="G67">
            <v>2749034</v>
          </cell>
          <cell r="H67">
            <v>105732</v>
          </cell>
        </row>
        <row r="68">
          <cell r="A68" t="str">
            <v>LT2120</v>
          </cell>
          <cell r="B68" t="str">
            <v>- Nhãm II (vËn t¶i sang ngang)</v>
          </cell>
        </row>
        <row r="69">
          <cell r="A69" t="str">
            <v>LT2121</v>
          </cell>
          <cell r="B69">
            <v>1</v>
          </cell>
          <cell r="C69">
            <v>2.12</v>
          </cell>
          <cell r="D69">
            <v>1547600</v>
          </cell>
          <cell r="E69">
            <v>146000</v>
          </cell>
          <cell r="F69">
            <v>402376</v>
          </cell>
          <cell r="G69">
            <v>2095976</v>
          </cell>
          <cell r="H69">
            <v>80614</v>
          </cell>
        </row>
        <row r="70">
          <cell r="A70" t="str">
            <v>LT2122</v>
          </cell>
          <cell r="B70">
            <v>2</v>
          </cell>
          <cell r="C70">
            <v>2.39</v>
          </cell>
          <cell r="D70">
            <v>1744700</v>
          </cell>
          <cell r="E70">
            <v>146000</v>
          </cell>
          <cell r="F70">
            <v>453622</v>
          </cell>
          <cell r="G70">
            <v>2344322</v>
          </cell>
          <cell r="H70">
            <v>90166</v>
          </cell>
        </row>
        <row r="71">
          <cell r="A71" t="str">
            <v>LT2123</v>
          </cell>
          <cell r="B71">
            <v>3</v>
          </cell>
          <cell r="C71">
            <v>2.76</v>
          </cell>
          <cell r="D71">
            <v>2014799.9999999998</v>
          </cell>
          <cell r="E71">
            <v>146000</v>
          </cell>
          <cell r="F71">
            <v>523848</v>
          </cell>
          <cell r="G71">
            <v>2684648</v>
          </cell>
          <cell r="H71">
            <v>103256</v>
          </cell>
        </row>
        <row r="72">
          <cell r="A72" t="str">
            <v>LT2124</v>
          </cell>
          <cell r="B72">
            <v>4</v>
          </cell>
          <cell r="C72">
            <v>3.11</v>
          </cell>
          <cell r="D72">
            <v>2270300</v>
          </cell>
          <cell r="E72">
            <v>146000</v>
          </cell>
          <cell r="F72">
            <v>590278</v>
          </cell>
          <cell r="G72">
            <v>3006578</v>
          </cell>
          <cell r="H72">
            <v>115638</v>
          </cell>
        </row>
        <row r="74">
          <cell r="A74" t="str">
            <v>LT2200</v>
          </cell>
          <cell r="B74" t="str">
            <v>2. Thî m¸y, thî ®iÖn</v>
          </cell>
        </row>
        <row r="75">
          <cell r="A75" t="str">
            <v>LT2210</v>
          </cell>
          <cell r="B75" t="str">
            <v>- Nhãm I (vËn t¶i däc s«ng)</v>
          </cell>
        </row>
        <row r="76">
          <cell r="A76" t="str">
            <v>LT2211</v>
          </cell>
          <cell r="B76">
            <v>1</v>
          </cell>
          <cell r="C76">
            <v>2.05</v>
          </cell>
          <cell r="D76">
            <v>1496499.9999999998</v>
          </cell>
          <cell r="E76">
            <v>146000</v>
          </cell>
          <cell r="F76">
            <v>389090</v>
          </cell>
          <cell r="G76">
            <v>2031589.9999999998</v>
          </cell>
          <cell r="H76">
            <v>78138</v>
          </cell>
        </row>
        <row r="77">
          <cell r="A77" t="str">
            <v>LT2212</v>
          </cell>
          <cell r="B77">
            <v>2</v>
          </cell>
          <cell r="C77">
            <v>2.35</v>
          </cell>
          <cell r="D77">
            <v>1715500</v>
          </cell>
          <cell r="E77">
            <v>146000</v>
          </cell>
          <cell r="F77">
            <v>446030</v>
          </cell>
          <cell r="G77">
            <v>2307530</v>
          </cell>
          <cell r="H77">
            <v>88751</v>
          </cell>
        </row>
        <row r="78">
          <cell r="A78" t="str">
            <v>LT2213</v>
          </cell>
          <cell r="B78">
            <v>3</v>
          </cell>
          <cell r="C78">
            <v>2.66</v>
          </cell>
          <cell r="D78">
            <v>1941800</v>
          </cell>
          <cell r="E78">
            <v>146000</v>
          </cell>
          <cell r="F78">
            <v>504868</v>
          </cell>
          <cell r="G78">
            <v>2592668</v>
          </cell>
          <cell r="H78">
            <v>99718</v>
          </cell>
        </row>
        <row r="79">
          <cell r="A79" t="str">
            <v>LT2214</v>
          </cell>
          <cell r="B79">
            <v>4</v>
          </cell>
          <cell r="C79">
            <v>2.99</v>
          </cell>
          <cell r="D79">
            <v>2182700</v>
          </cell>
          <cell r="E79">
            <v>146000</v>
          </cell>
          <cell r="F79">
            <v>567502</v>
          </cell>
          <cell r="G79">
            <v>2896202</v>
          </cell>
          <cell r="H79">
            <v>111392</v>
          </cell>
        </row>
        <row r="80">
          <cell r="A80" t="str">
            <v>LT2220</v>
          </cell>
          <cell r="B80" t="str">
            <v>- Nhãm II (vËn t¶i sang ngang)</v>
          </cell>
        </row>
        <row r="81">
          <cell r="A81" t="str">
            <v>LT2221</v>
          </cell>
          <cell r="B81">
            <v>1</v>
          </cell>
          <cell r="C81">
            <v>2.25</v>
          </cell>
          <cell r="D81">
            <v>1642500</v>
          </cell>
          <cell r="E81">
            <v>146000</v>
          </cell>
          <cell r="F81">
            <v>427050</v>
          </cell>
          <cell r="G81">
            <v>2215550</v>
          </cell>
          <cell r="H81">
            <v>85213</v>
          </cell>
        </row>
        <row r="82">
          <cell r="A82" t="str">
            <v>LT2222</v>
          </cell>
          <cell r="B82">
            <v>2</v>
          </cell>
          <cell r="C82">
            <v>2.58</v>
          </cell>
          <cell r="D82">
            <v>1883400</v>
          </cell>
          <cell r="E82">
            <v>146000</v>
          </cell>
          <cell r="F82">
            <v>489684</v>
          </cell>
          <cell r="G82">
            <v>2519084</v>
          </cell>
          <cell r="H82">
            <v>96888</v>
          </cell>
        </row>
        <row r="83">
          <cell r="A83" t="str">
            <v>LT2223</v>
          </cell>
          <cell r="B83">
            <v>3</v>
          </cell>
          <cell r="C83">
            <v>2.92</v>
          </cell>
          <cell r="D83">
            <v>2131600</v>
          </cell>
          <cell r="E83">
            <v>146000</v>
          </cell>
          <cell r="F83">
            <v>554216</v>
          </cell>
          <cell r="G83">
            <v>2831816</v>
          </cell>
          <cell r="H83">
            <v>108916</v>
          </cell>
        </row>
        <row r="84">
          <cell r="A84" t="str">
            <v>LT2224</v>
          </cell>
          <cell r="B84">
            <v>4</v>
          </cell>
          <cell r="C84">
            <v>3.8</v>
          </cell>
          <cell r="D84">
            <v>2774000</v>
          </cell>
          <cell r="E84">
            <v>146000</v>
          </cell>
          <cell r="F84">
            <v>721240</v>
          </cell>
          <cell r="G84">
            <v>3641240</v>
          </cell>
          <cell r="H84">
            <v>140048</v>
          </cell>
        </row>
        <row r="87">
          <cell r="A87" t="str">
            <v>LT3000</v>
          </cell>
          <cell r="B87" t="str">
            <v>tµu vËn t¶i biÓn theo nhãm tµu - b.2 (trang 98)</v>
          </cell>
        </row>
        <row r="89">
          <cell r="A89" t="str">
            <v>LT3100</v>
          </cell>
          <cell r="B89" t="str">
            <v>1. ThuyÒn tr­ëng</v>
          </cell>
        </row>
        <row r="90">
          <cell r="A90" t="str">
            <v>LT3110</v>
          </cell>
          <cell r="B90" t="str">
            <v>- D­íi 200 GRT</v>
          </cell>
        </row>
        <row r="91">
          <cell r="A91" t="str">
            <v>LT3111</v>
          </cell>
          <cell r="B91">
            <v>1</v>
          </cell>
          <cell r="C91">
            <v>4.56</v>
          </cell>
          <cell r="D91">
            <v>3328799.9999999995</v>
          </cell>
          <cell r="E91">
            <v>146000</v>
          </cell>
          <cell r="F91">
            <v>865488</v>
          </cell>
          <cell r="G91">
            <v>4340288</v>
          </cell>
          <cell r="H91">
            <v>166934</v>
          </cell>
        </row>
        <row r="92">
          <cell r="A92" t="str">
            <v>LT3112</v>
          </cell>
          <cell r="B92">
            <v>2</v>
          </cell>
          <cell r="C92">
            <v>4.88</v>
          </cell>
          <cell r="D92">
            <v>3562400</v>
          </cell>
          <cell r="E92">
            <v>146000</v>
          </cell>
          <cell r="F92">
            <v>926224</v>
          </cell>
          <cell r="G92">
            <v>4634624</v>
          </cell>
          <cell r="H92">
            <v>178255</v>
          </cell>
        </row>
        <row r="93">
          <cell r="A93" t="str">
            <v>LT3120</v>
          </cell>
          <cell r="B93" t="str">
            <v>- Tõ 200 GRT ®Õn 499 GRT</v>
          </cell>
        </row>
        <row r="94">
          <cell r="A94" t="str">
            <v>LT3121</v>
          </cell>
          <cell r="B94">
            <v>1</v>
          </cell>
          <cell r="C94">
            <v>4.88</v>
          </cell>
          <cell r="D94">
            <v>3562400</v>
          </cell>
          <cell r="E94">
            <v>146000</v>
          </cell>
          <cell r="F94">
            <v>926224</v>
          </cell>
          <cell r="G94">
            <v>4634624</v>
          </cell>
          <cell r="H94">
            <v>178255</v>
          </cell>
        </row>
        <row r="95">
          <cell r="A95" t="str">
            <v>LT3122</v>
          </cell>
          <cell r="B95">
            <v>2</v>
          </cell>
          <cell r="C95">
            <v>5.19</v>
          </cell>
          <cell r="D95">
            <v>3788700.0000000005</v>
          </cell>
          <cell r="E95">
            <v>146000</v>
          </cell>
          <cell r="F95">
            <v>985062</v>
          </cell>
          <cell r="G95">
            <v>4919762</v>
          </cell>
          <cell r="H95">
            <v>189222</v>
          </cell>
        </row>
        <row r="96">
          <cell r="A96" t="str">
            <v>LT3130</v>
          </cell>
          <cell r="B96" t="str">
            <v>- Tõ 500 GRT ®Õn 1599 GRT</v>
          </cell>
        </row>
        <row r="97">
          <cell r="A97" t="str">
            <v>LT3131</v>
          </cell>
          <cell r="B97">
            <v>1</v>
          </cell>
          <cell r="C97">
            <v>5.19</v>
          </cell>
          <cell r="D97">
            <v>3788700.0000000005</v>
          </cell>
          <cell r="E97">
            <v>146000</v>
          </cell>
          <cell r="F97">
            <v>985062</v>
          </cell>
          <cell r="G97">
            <v>4919762</v>
          </cell>
          <cell r="H97">
            <v>189222</v>
          </cell>
        </row>
        <row r="98">
          <cell r="A98" t="str">
            <v>LT3132</v>
          </cell>
          <cell r="B98">
            <v>2</v>
          </cell>
          <cell r="C98">
            <v>5.41</v>
          </cell>
          <cell r="D98">
            <v>3949300</v>
          </cell>
          <cell r="E98">
            <v>146000</v>
          </cell>
          <cell r="F98">
            <v>1026818</v>
          </cell>
          <cell r="G98">
            <v>5122118</v>
          </cell>
          <cell r="H98">
            <v>197005</v>
          </cell>
        </row>
        <row r="99">
          <cell r="A99" t="str">
            <v>LT3140</v>
          </cell>
          <cell r="B99" t="str">
            <v>- Tõ 1600 GRT ®Õn 5999 GRT</v>
          </cell>
        </row>
        <row r="100">
          <cell r="A100" t="str">
            <v>LT3141</v>
          </cell>
          <cell r="B100">
            <v>1</v>
          </cell>
          <cell r="C100">
            <v>5.41</v>
          </cell>
          <cell r="D100">
            <v>3949300</v>
          </cell>
          <cell r="E100">
            <v>146000</v>
          </cell>
          <cell r="F100">
            <v>1026818</v>
          </cell>
          <cell r="G100">
            <v>5122118</v>
          </cell>
          <cell r="H100">
            <v>197005</v>
          </cell>
        </row>
        <row r="101">
          <cell r="A101" t="str">
            <v>LT3142</v>
          </cell>
          <cell r="B101">
            <v>2</v>
          </cell>
          <cell r="C101">
            <v>5.75</v>
          </cell>
          <cell r="D101">
            <v>4197500</v>
          </cell>
          <cell r="E101">
            <v>146000</v>
          </cell>
          <cell r="F101">
            <v>1091350</v>
          </cell>
          <cell r="G101">
            <v>5434850</v>
          </cell>
          <cell r="H101">
            <v>209033</v>
          </cell>
        </row>
        <row r="102">
          <cell r="A102" t="str">
            <v>LT3150</v>
          </cell>
          <cell r="B102" t="str">
            <v>- Tõ 6000 GRT ®Õn 10000 GRT</v>
          </cell>
        </row>
        <row r="103">
          <cell r="A103" t="str">
            <v>LT3151</v>
          </cell>
          <cell r="B103">
            <v>1</v>
          </cell>
          <cell r="C103">
            <v>6.16</v>
          </cell>
          <cell r="D103">
            <v>4496800</v>
          </cell>
          <cell r="E103">
            <v>146000</v>
          </cell>
          <cell r="F103">
            <v>1169168</v>
          </cell>
          <cell r="G103">
            <v>5811968</v>
          </cell>
          <cell r="H103">
            <v>223537</v>
          </cell>
        </row>
        <row r="104">
          <cell r="A104" t="str">
            <v>LT3152</v>
          </cell>
          <cell r="B104">
            <v>2</v>
          </cell>
          <cell r="C104">
            <v>6.5</v>
          </cell>
          <cell r="D104">
            <v>4745000</v>
          </cell>
          <cell r="E104">
            <v>146000</v>
          </cell>
          <cell r="F104">
            <v>1233700</v>
          </cell>
          <cell r="G104">
            <v>6124700</v>
          </cell>
          <cell r="H104">
            <v>235565</v>
          </cell>
        </row>
        <row r="105">
          <cell r="A105" t="str">
            <v>LT3160</v>
          </cell>
          <cell r="B105" t="str">
            <v>- Tõ 10000 GRT trë lªn</v>
          </cell>
        </row>
        <row r="106">
          <cell r="A106" t="str">
            <v>LT3161</v>
          </cell>
          <cell r="B106">
            <v>1</v>
          </cell>
          <cell r="C106">
            <v>6.65</v>
          </cell>
          <cell r="D106">
            <v>4854500</v>
          </cell>
          <cell r="E106">
            <v>146000</v>
          </cell>
          <cell r="F106">
            <v>1262170</v>
          </cell>
          <cell r="G106">
            <v>6262670</v>
          </cell>
          <cell r="H106">
            <v>240872</v>
          </cell>
        </row>
        <row r="107">
          <cell r="A107" t="str">
            <v>LT3162</v>
          </cell>
          <cell r="B107">
            <v>2</v>
          </cell>
          <cell r="C107">
            <v>7.15</v>
          </cell>
          <cell r="D107">
            <v>5219500</v>
          </cell>
          <cell r="E107">
            <v>146000</v>
          </cell>
          <cell r="F107">
            <v>1357070</v>
          </cell>
          <cell r="G107">
            <v>6722570</v>
          </cell>
          <cell r="H107">
            <v>258560</v>
          </cell>
        </row>
        <row r="109">
          <cell r="A109" t="str">
            <v>LT3200</v>
          </cell>
          <cell r="B109" t="str">
            <v>2. M¸y tr­ëng</v>
          </cell>
        </row>
        <row r="110">
          <cell r="A110" t="str">
            <v>LT3210</v>
          </cell>
          <cell r="B110" t="str">
            <v>- D­íi 200 GRT</v>
          </cell>
        </row>
        <row r="111">
          <cell r="A111" t="str">
            <v>LT3211</v>
          </cell>
          <cell r="B111">
            <v>1</v>
          </cell>
          <cell r="C111">
            <v>4.36</v>
          </cell>
          <cell r="D111">
            <v>3182800.0000000005</v>
          </cell>
          <cell r="E111">
            <v>146000</v>
          </cell>
          <cell r="F111">
            <v>827528</v>
          </cell>
          <cell r="G111">
            <v>4156328.0000000005</v>
          </cell>
          <cell r="H111">
            <v>159859</v>
          </cell>
        </row>
        <row r="112">
          <cell r="A112" t="str">
            <v>LT3212</v>
          </cell>
          <cell r="B112">
            <v>2</v>
          </cell>
          <cell r="C112">
            <v>4.56</v>
          </cell>
          <cell r="D112">
            <v>3328799.9999999995</v>
          </cell>
          <cell r="E112">
            <v>146000</v>
          </cell>
          <cell r="F112">
            <v>865488</v>
          </cell>
          <cell r="G112">
            <v>4340288</v>
          </cell>
          <cell r="H112">
            <v>166934</v>
          </cell>
        </row>
        <row r="113">
          <cell r="A113" t="str">
            <v>LT3220</v>
          </cell>
          <cell r="B113" t="str">
            <v>- Tõ 200 GRT ®Õn 499 GRT</v>
          </cell>
        </row>
        <row r="114">
          <cell r="A114" t="str">
            <v>LT3221</v>
          </cell>
          <cell r="B114">
            <v>1</v>
          </cell>
          <cell r="C114">
            <v>4.56</v>
          </cell>
          <cell r="D114">
            <v>3328799.9999999995</v>
          </cell>
          <cell r="E114">
            <v>146000</v>
          </cell>
          <cell r="F114">
            <v>865488</v>
          </cell>
          <cell r="G114">
            <v>4340288</v>
          </cell>
          <cell r="H114">
            <v>166934</v>
          </cell>
        </row>
        <row r="115">
          <cell r="A115" t="str">
            <v>LT3222</v>
          </cell>
          <cell r="B115">
            <v>2</v>
          </cell>
          <cell r="C115">
            <v>4.88</v>
          </cell>
          <cell r="D115">
            <v>3562400</v>
          </cell>
          <cell r="E115">
            <v>146000</v>
          </cell>
          <cell r="F115">
            <v>926224</v>
          </cell>
          <cell r="G115">
            <v>4634624</v>
          </cell>
          <cell r="H115">
            <v>178255</v>
          </cell>
        </row>
        <row r="116">
          <cell r="A116" t="str">
            <v>LT3230</v>
          </cell>
          <cell r="B116" t="str">
            <v>- Tõ 500 GRT ®Õn 1599 GRT</v>
          </cell>
        </row>
        <row r="117">
          <cell r="A117" t="str">
            <v>LT3231</v>
          </cell>
          <cell r="B117">
            <v>1</v>
          </cell>
          <cell r="C117">
            <v>4.88</v>
          </cell>
          <cell r="D117">
            <v>3562400</v>
          </cell>
          <cell r="E117">
            <v>146000</v>
          </cell>
          <cell r="F117">
            <v>926224</v>
          </cell>
          <cell r="G117">
            <v>4634624</v>
          </cell>
          <cell r="H117">
            <v>178255</v>
          </cell>
        </row>
        <row r="118">
          <cell r="A118" t="str">
            <v>LT3232</v>
          </cell>
          <cell r="B118">
            <v>2</v>
          </cell>
          <cell r="C118">
            <v>5.19</v>
          </cell>
          <cell r="D118">
            <v>3788700.0000000005</v>
          </cell>
          <cell r="E118">
            <v>146000</v>
          </cell>
          <cell r="F118">
            <v>985062</v>
          </cell>
          <cell r="G118">
            <v>4919762</v>
          </cell>
          <cell r="H118">
            <v>189222</v>
          </cell>
        </row>
        <row r="119">
          <cell r="A119" t="str">
            <v>LT3240</v>
          </cell>
          <cell r="B119" t="str">
            <v>- Tõ 1600 GRT ®Õn 5999 GRT</v>
          </cell>
        </row>
        <row r="120">
          <cell r="A120" t="str">
            <v>LT3241</v>
          </cell>
          <cell r="B120">
            <v>1</v>
          </cell>
          <cell r="C120">
            <v>5.19</v>
          </cell>
          <cell r="D120">
            <v>3788700.0000000005</v>
          </cell>
          <cell r="E120">
            <v>146000</v>
          </cell>
          <cell r="F120">
            <v>985062</v>
          </cell>
          <cell r="G120">
            <v>4919762</v>
          </cell>
          <cell r="H120">
            <v>189222</v>
          </cell>
        </row>
        <row r="121">
          <cell r="A121" t="str">
            <v>LT3242</v>
          </cell>
          <cell r="B121">
            <v>2</v>
          </cell>
          <cell r="C121">
            <v>5.41</v>
          </cell>
          <cell r="D121">
            <v>3949300</v>
          </cell>
          <cell r="E121">
            <v>146000</v>
          </cell>
          <cell r="F121">
            <v>1026818</v>
          </cell>
          <cell r="G121">
            <v>5122118</v>
          </cell>
          <cell r="H121">
            <v>197005</v>
          </cell>
        </row>
        <row r="122">
          <cell r="A122" t="str">
            <v>LT3250</v>
          </cell>
          <cell r="B122" t="str">
            <v>- Tõ 6000 GRT ®Õn 10000 GRT</v>
          </cell>
        </row>
        <row r="123">
          <cell r="A123" t="str">
            <v>LT3251</v>
          </cell>
          <cell r="B123">
            <v>1</v>
          </cell>
          <cell r="C123">
            <v>5.75</v>
          </cell>
          <cell r="D123">
            <v>4197500</v>
          </cell>
          <cell r="E123">
            <v>146000</v>
          </cell>
          <cell r="F123">
            <v>1091350</v>
          </cell>
          <cell r="G123">
            <v>5434850</v>
          </cell>
          <cell r="H123">
            <v>209033</v>
          </cell>
        </row>
        <row r="124">
          <cell r="A124" t="str">
            <v>LT3252</v>
          </cell>
          <cell r="B124">
            <v>2</v>
          </cell>
          <cell r="C124">
            <v>6.16</v>
          </cell>
          <cell r="D124">
            <v>4496800</v>
          </cell>
          <cell r="E124">
            <v>146000</v>
          </cell>
          <cell r="F124">
            <v>1169168</v>
          </cell>
          <cell r="G124">
            <v>5811968</v>
          </cell>
          <cell r="H124">
            <v>223537</v>
          </cell>
        </row>
        <row r="125">
          <cell r="A125" t="str">
            <v>LT3260</v>
          </cell>
          <cell r="B125" t="str">
            <v>- Tõ 10000 GRT trë lªn</v>
          </cell>
        </row>
        <row r="126">
          <cell r="A126" t="str">
            <v>LT3261</v>
          </cell>
          <cell r="B126">
            <v>1</v>
          </cell>
          <cell r="C126">
            <v>6.28</v>
          </cell>
          <cell r="D126">
            <v>4584400</v>
          </cell>
          <cell r="E126">
            <v>146000</v>
          </cell>
          <cell r="F126">
            <v>1191944</v>
          </cell>
          <cell r="G126">
            <v>5922344</v>
          </cell>
          <cell r="H126">
            <v>227782</v>
          </cell>
        </row>
        <row r="127">
          <cell r="A127" t="str">
            <v>LT3262</v>
          </cell>
          <cell r="B127">
            <v>2</v>
          </cell>
          <cell r="C127">
            <v>6.65</v>
          </cell>
          <cell r="D127">
            <v>4854500</v>
          </cell>
          <cell r="E127">
            <v>146000</v>
          </cell>
          <cell r="F127">
            <v>1262170</v>
          </cell>
          <cell r="G127">
            <v>6262670</v>
          </cell>
          <cell r="H127">
            <v>240872</v>
          </cell>
        </row>
        <row r="129">
          <cell r="A129" t="str">
            <v>LT3300</v>
          </cell>
          <cell r="B129" t="str">
            <v>3. §¹i phã, M¸y 2</v>
          </cell>
        </row>
        <row r="130">
          <cell r="A130" t="str">
            <v>LT3310</v>
          </cell>
          <cell r="B130" t="str">
            <v>- D­íi 200 GRT</v>
          </cell>
        </row>
        <row r="131">
          <cell r="A131" t="str">
            <v>LT3311</v>
          </cell>
          <cell r="B131">
            <v>1</v>
          </cell>
          <cell r="C131">
            <v>4.14</v>
          </cell>
          <cell r="D131">
            <v>3022199.9999999995</v>
          </cell>
          <cell r="E131">
            <v>146000</v>
          </cell>
          <cell r="F131">
            <v>785772</v>
          </cell>
          <cell r="G131">
            <v>3953971.9999999995</v>
          </cell>
          <cell r="H131">
            <v>152076</v>
          </cell>
        </row>
        <row r="132">
          <cell r="A132" t="str">
            <v>LT3312</v>
          </cell>
          <cell r="B132">
            <v>2</v>
          </cell>
          <cell r="C132">
            <v>4.36</v>
          </cell>
          <cell r="D132">
            <v>3182800.0000000005</v>
          </cell>
          <cell r="E132">
            <v>146000</v>
          </cell>
          <cell r="F132">
            <v>827528</v>
          </cell>
          <cell r="G132">
            <v>4156328.0000000005</v>
          </cell>
          <cell r="H132">
            <v>159859</v>
          </cell>
        </row>
        <row r="133">
          <cell r="A133" t="str">
            <v>LT3320</v>
          </cell>
          <cell r="B133" t="str">
            <v>- Tõ 200 GRT ®Õn 499 GRT</v>
          </cell>
        </row>
        <row r="134">
          <cell r="A134" t="str">
            <v>LT3321</v>
          </cell>
          <cell r="B134">
            <v>1</v>
          </cell>
          <cell r="C134">
            <v>4.36</v>
          </cell>
          <cell r="D134">
            <v>3182800.0000000005</v>
          </cell>
          <cell r="E134">
            <v>146000</v>
          </cell>
          <cell r="F134">
            <v>827528</v>
          </cell>
          <cell r="G134">
            <v>4156328.0000000005</v>
          </cell>
          <cell r="H134">
            <v>159859</v>
          </cell>
        </row>
        <row r="135">
          <cell r="A135" t="str">
            <v>LT3322</v>
          </cell>
          <cell r="B135">
            <v>2</v>
          </cell>
          <cell r="C135">
            <v>4.56</v>
          </cell>
          <cell r="D135">
            <v>3328799.9999999995</v>
          </cell>
          <cell r="E135">
            <v>146000</v>
          </cell>
          <cell r="F135">
            <v>865488</v>
          </cell>
          <cell r="G135">
            <v>4340288</v>
          </cell>
          <cell r="H135">
            <v>166934</v>
          </cell>
        </row>
        <row r="136">
          <cell r="A136" t="str">
            <v>LT3330</v>
          </cell>
          <cell r="B136" t="str">
            <v>- Tõ 500 GRT ®Õn 1599 GRT</v>
          </cell>
        </row>
        <row r="137">
          <cell r="A137" t="str">
            <v>LT3331</v>
          </cell>
          <cell r="B137">
            <v>1</v>
          </cell>
          <cell r="C137">
            <v>4.56</v>
          </cell>
          <cell r="D137">
            <v>3328799.9999999995</v>
          </cell>
          <cell r="E137">
            <v>146000</v>
          </cell>
          <cell r="F137">
            <v>865488</v>
          </cell>
          <cell r="G137">
            <v>4340288</v>
          </cell>
          <cell r="H137">
            <v>166934</v>
          </cell>
        </row>
        <row r="138">
          <cell r="A138" t="str">
            <v>LT3332</v>
          </cell>
          <cell r="B138">
            <v>2</v>
          </cell>
          <cell r="C138">
            <v>4.88</v>
          </cell>
          <cell r="D138">
            <v>3562400</v>
          </cell>
          <cell r="E138">
            <v>146000</v>
          </cell>
          <cell r="F138">
            <v>926224</v>
          </cell>
          <cell r="G138">
            <v>4634624</v>
          </cell>
          <cell r="H138">
            <v>178255</v>
          </cell>
        </row>
        <row r="139">
          <cell r="A139" t="str">
            <v>LT3340</v>
          </cell>
          <cell r="B139" t="str">
            <v>- Tõ 1600 GRT ®Õn 5999 GRT</v>
          </cell>
        </row>
        <row r="140">
          <cell r="A140" t="str">
            <v>LT3341</v>
          </cell>
          <cell r="B140">
            <v>1</v>
          </cell>
          <cell r="C140">
            <v>4.88</v>
          </cell>
          <cell r="D140">
            <v>3562400</v>
          </cell>
          <cell r="E140">
            <v>146000</v>
          </cell>
          <cell r="F140">
            <v>926224</v>
          </cell>
          <cell r="G140">
            <v>4634624</v>
          </cell>
          <cell r="H140">
            <v>178255</v>
          </cell>
        </row>
        <row r="141">
          <cell r="A141" t="str">
            <v>LT3342</v>
          </cell>
          <cell r="B141">
            <v>2</v>
          </cell>
          <cell r="C141">
            <v>5.19</v>
          </cell>
          <cell r="D141">
            <v>3788700.0000000005</v>
          </cell>
          <cell r="E141">
            <v>146000</v>
          </cell>
          <cell r="F141">
            <v>985062</v>
          </cell>
          <cell r="G141">
            <v>4919762</v>
          </cell>
          <cell r="H141">
            <v>189222</v>
          </cell>
        </row>
        <row r="142">
          <cell r="A142" t="str">
            <v>LT3350</v>
          </cell>
          <cell r="B142" t="str">
            <v>- Tõ 6000 GRT ®Õn 10000 GRT</v>
          </cell>
        </row>
        <row r="143">
          <cell r="A143" t="str">
            <v>LT3351</v>
          </cell>
          <cell r="B143">
            <v>1</v>
          </cell>
          <cell r="C143">
            <v>5.41</v>
          </cell>
          <cell r="D143">
            <v>3949300</v>
          </cell>
          <cell r="E143">
            <v>146000</v>
          </cell>
          <cell r="F143">
            <v>1026818</v>
          </cell>
          <cell r="G143">
            <v>5122118</v>
          </cell>
          <cell r="H143">
            <v>197005</v>
          </cell>
        </row>
        <row r="144">
          <cell r="A144" t="str">
            <v>LT3352</v>
          </cell>
          <cell r="B144">
            <v>2</v>
          </cell>
          <cell r="C144">
            <v>5.75</v>
          </cell>
          <cell r="D144">
            <v>4197500</v>
          </cell>
          <cell r="E144">
            <v>146000</v>
          </cell>
          <cell r="F144">
            <v>1091350</v>
          </cell>
          <cell r="G144">
            <v>5434850</v>
          </cell>
          <cell r="H144">
            <v>209033</v>
          </cell>
        </row>
        <row r="145">
          <cell r="A145" t="str">
            <v>LT3360</v>
          </cell>
          <cell r="B145" t="str">
            <v>- Tõ 10000 GRT trë lªn</v>
          </cell>
        </row>
        <row r="146">
          <cell r="A146" t="str">
            <v>LT3361</v>
          </cell>
          <cell r="B146">
            <v>1</v>
          </cell>
          <cell r="C146">
            <v>5.94</v>
          </cell>
          <cell r="D146">
            <v>4336200</v>
          </cell>
          <cell r="E146">
            <v>146000</v>
          </cell>
          <cell r="F146">
            <v>1127412</v>
          </cell>
          <cell r="G146">
            <v>5609612</v>
          </cell>
          <cell r="H146">
            <v>215754</v>
          </cell>
        </row>
        <row r="147">
          <cell r="A147" t="str">
            <v>LT3362</v>
          </cell>
          <cell r="B147">
            <v>2</v>
          </cell>
          <cell r="C147">
            <v>6.28</v>
          </cell>
          <cell r="D147">
            <v>4584400</v>
          </cell>
          <cell r="E147">
            <v>146000</v>
          </cell>
          <cell r="F147">
            <v>1191944</v>
          </cell>
          <cell r="G147">
            <v>5922344</v>
          </cell>
          <cell r="H147">
            <v>227782</v>
          </cell>
        </row>
        <row r="149">
          <cell r="A149" t="str">
            <v>LT3400</v>
          </cell>
          <cell r="B149" t="str">
            <v>4. ThuyÒn phã 2, M¸y 3</v>
          </cell>
        </row>
        <row r="150">
          <cell r="A150" t="str">
            <v>LT3410</v>
          </cell>
          <cell r="B150" t="str">
            <v>- D­íi 200 GRT</v>
          </cell>
        </row>
        <row r="151">
          <cell r="A151" t="str">
            <v>LT3411</v>
          </cell>
          <cell r="B151">
            <v>1</v>
          </cell>
          <cell r="C151">
            <v>3.66</v>
          </cell>
          <cell r="D151">
            <v>2671800</v>
          </cell>
          <cell r="E151">
            <v>146000</v>
          </cell>
          <cell r="F151">
            <v>694668</v>
          </cell>
          <cell r="G151">
            <v>3512468</v>
          </cell>
          <cell r="H151">
            <v>135095</v>
          </cell>
        </row>
        <row r="152">
          <cell r="A152" t="str">
            <v>LT3412</v>
          </cell>
          <cell r="B152">
            <v>2</v>
          </cell>
          <cell r="C152">
            <v>3.91</v>
          </cell>
          <cell r="D152">
            <v>2854300</v>
          </cell>
          <cell r="E152">
            <v>146000</v>
          </cell>
          <cell r="F152">
            <v>742118</v>
          </cell>
          <cell r="G152">
            <v>3742418</v>
          </cell>
          <cell r="H152">
            <v>143939</v>
          </cell>
        </row>
        <row r="153">
          <cell r="A153" t="str">
            <v>LT3420</v>
          </cell>
          <cell r="B153" t="str">
            <v>- Tõ 200 GRT ®Õn 499 GRT</v>
          </cell>
        </row>
        <row r="154">
          <cell r="A154" t="str">
            <v>LT3421</v>
          </cell>
          <cell r="B154">
            <v>1</v>
          </cell>
          <cell r="C154">
            <v>3.91</v>
          </cell>
          <cell r="D154">
            <v>2854300</v>
          </cell>
          <cell r="E154">
            <v>146000</v>
          </cell>
          <cell r="F154">
            <v>742118</v>
          </cell>
          <cell r="G154">
            <v>3742418</v>
          </cell>
          <cell r="H154">
            <v>143939</v>
          </cell>
        </row>
        <row r="155">
          <cell r="A155" t="str">
            <v>LT3422</v>
          </cell>
          <cell r="B155">
            <v>2</v>
          </cell>
          <cell r="C155">
            <v>4.16</v>
          </cell>
          <cell r="D155">
            <v>3036800</v>
          </cell>
          <cell r="E155">
            <v>146000</v>
          </cell>
          <cell r="F155">
            <v>789568</v>
          </cell>
          <cell r="G155">
            <v>3972368</v>
          </cell>
          <cell r="H155">
            <v>152783</v>
          </cell>
        </row>
        <row r="156">
          <cell r="A156" t="str">
            <v>LT3430</v>
          </cell>
          <cell r="B156" t="str">
            <v>- Tõ 500 GRT ®Õn 1599 GRT</v>
          </cell>
        </row>
        <row r="157">
          <cell r="A157" t="str">
            <v>LT3431</v>
          </cell>
          <cell r="B157">
            <v>1</v>
          </cell>
          <cell r="C157">
            <v>4.16</v>
          </cell>
          <cell r="D157">
            <v>3036800</v>
          </cell>
          <cell r="E157">
            <v>146000</v>
          </cell>
          <cell r="F157">
            <v>789568</v>
          </cell>
          <cell r="G157">
            <v>3972368</v>
          </cell>
          <cell r="H157">
            <v>152783</v>
          </cell>
        </row>
        <row r="158">
          <cell r="A158" t="str">
            <v>LT3432</v>
          </cell>
          <cell r="B158">
            <v>2</v>
          </cell>
          <cell r="C158">
            <v>4.37</v>
          </cell>
          <cell r="D158">
            <v>3190100</v>
          </cell>
          <cell r="E158">
            <v>146000</v>
          </cell>
          <cell r="F158">
            <v>829426</v>
          </cell>
          <cell r="G158">
            <v>4165526</v>
          </cell>
          <cell r="H158">
            <v>160213</v>
          </cell>
        </row>
        <row r="159">
          <cell r="A159" t="str">
            <v>LT3440</v>
          </cell>
          <cell r="B159" t="str">
            <v>- Tõ 1600 GRT ®Õn 5999 GRT</v>
          </cell>
        </row>
        <row r="160">
          <cell r="A160" t="str">
            <v>LT3441</v>
          </cell>
          <cell r="B160">
            <v>1</v>
          </cell>
          <cell r="C160">
            <v>4.37</v>
          </cell>
          <cell r="D160">
            <v>3190100</v>
          </cell>
          <cell r="E160">
            <v>146000</v>
          </cell>
          <cell r="F160">
            <v>829426</v>
          </cell>
          <cell r="G160">
            <v>4165526</v>
          </cell>
          <cell r="H160">
            <v>160213</v>
          </cell>
        </row>
        <row r="161">
          <cell r="A161" t="str">
            <v>LT3442</v>
          </cell>
          <cell r="B161">
            <v>2</v>
          </cell>
          <cell r="C161">
            <v>4.68</v>
          </cell>
          <cell r="D161">
            <v>3416400</v>
          </cell>
          <cell r="E161">
            <v>146000</v>
          </cell>
          <cell r="F161">
            <v>888264</v>
          </cell>
          <cell r="G161">
            <v>4450664</v>
          </cell>
          <cell r="H161">
            <v>171179</v>
          </cell>
        </row>
        <row r="162">
          <cell r="A162" t="str">
            <v>LT3450</v>
          </cell>
          <cell r="B162" t="str">
            <v>- Tõ 6000 GRT ®Õn 10000 GRT</v>
          </cell>
        </row>
        <row r="163">
          <cell r="A163" t="str">
            <v>LT3451</v>
          </cell>
          <cell r="B163">
            <v>1</v>
          </cell>
          <cell r="C163">
            <v>4.88</v>
          </cell>
          <cell r="D163">
            <v>3562400</v>
          </cell>
          <cell r="E163">
            <v>146000</v>
          </cell>
          <cell r="F163">
            <v>926224</v>
          </cell>
          <cell r="G163">
            <v>4634624</v>
          </cell>
          <cell r="H163">
            <v>178255</v>
          </cell>
        </row>
        <row r="164">
          <cell r="A164" t="str">
            <v>LT3452</v>
          </cell>
          <cell r="B164">
            <v>2</v>
          </cell>
          <cell r="C164">
            <v>5.19</v>
          </cell>
          <cell r="D164">
            <v>3788700.0000000005</v>
          </cell>
          <cell r="E164">
            <v>146000</v>
          </cell>
          <cell r="F164">
            <v>985062</v>
          </cell>
          <cell r="G164">
            <v>4919762</v>
          </cell>
          <cell r="H164">
            <v>189222</v>
          </cell>
        </row>
        <row r="165">
          <cell r="A165" t="str">
            <v>LT3460</v>
          </cell>
          <cell r="B165" t="str">
            <v>- Tõ 10000 GRT trë lªn</v>
          </cell>
        </row>
        <row r="166">
          <cell r="A166" t="str">
            <v>LT3461</v>
          </cell>
          <cell r="B166">
            <v>1</v>
          </cell>
          <cell r="C166">
            <v>5.28</v>
          </cell>
          <cell r="D166">
            <v>3854400</v>
          </cell>
          <cell r="E166">
            <v>146000</v>
          </cell>
          <cell r="F166">
            <v>1002144</v>
          </cell>
          <cell r="G166">
            <v>5002544</v>
          </cell>
          <cell r="H166">
            <v>192406</v>
          </cell>
        </row>
        <row r="167">
          <cell r="A167" t="str">
            <v>LT3462</v>
          </cell>
          <cell r="B167">
            <v>2</v>
          </cell>
          <cell r="C167">
            <v>5.62</v>
          </cell>
          <cell r="D167">
            <v>4102600</v>
          </cell>
          <cell r="E167">
            <v>146000</v>
          </cell>
          <cell r="F167">
            <v>1066676</v>
          </cell>
          <cell r="G167">
            <v>5315276</v>
          </cell>
          <cell r="H167">
            <v>204434</v>
          </cell>
        </row>
        <row r="169">
          <cell r="A169" t="str">
            <v>LT4000</v>
          </cell>
          <cell r="B169" t="str">
            <v>tµu vËn t¶i biÓn kh«ng theo nhãm tµu - b.2 (trang 97)</v>
          </cell>
        </row>
        <row r="171">
          <cell r="A171" t="str">
            <v>LT4100</v>
          </cell>
          <cell r="B171" t="str">
            <v>1. Thñy thñ</v>
          </cell>
        </row>
        <row r="172">
          <cell r="A172" t="str">
            <v>LT4101</v>
          </cell>
          <cell r="B172">
            <v>1</v>
          </cell>
          <cell r="C172">
            <v>2.18</v>
          </cell>
          <cell r="D172">
            <v>1591400.0000000002</v>
          </cell>
          <cell r="E172">
            <v>146000</v>
          </cell>
          <cell r="F172">
            <v>413764</v>
          </cell>
          <cell r="G172">
            <v>2151164</v>
          </cell>
          <cell r="H172">
            <v>82737</v>
          </cell>
        </row>
        <row r="173">
          <cell r="A173" t="str">
            <v>LT4102</v>
          </cell>
          <cell r="B173">
            <v>2</v>
          </cell>
          <cell r="C173">
            <v>2.59</v>
          </cell>
          <cell r="D173">
            <v>1890700</v>
          </cell>
          <cell r="E173">
            <v>146000</v>
          </cell>
          <cell r="F173">
            <v>491582</v>
          </cell>
          <cell r="G173">
            <v>2528282</v>
          </cell>
          <cell r="H173">
            <v>97242</v>
          </cell>
        </row>
        <row r="174">
          <cell r="A174" t="str">
            <v>LT4103</v>
          </cell>
          <cell r="B174">
            <v>3</v>
          </cell>
          <cell r="C174">
            <v>3.08</v>
          </cell>
          <cell r="D174">
            <v>2248400</v>
          </cell>
          <cell r="E174">
            <v>146000</v>
          </cell>
          <cell r="F174">
            <v>584584</v>
          </cell>
          <cell r="G174">
            <v>2978984</v>
          </cell>
          <cell r="H174">
            <v>114576</v>
          </cell>
        </row>
        <row r="175">
          <cell r="A175" t="str">
            <v>LT4104</v>
          </cell>
          <cell r="B175">
            <v>4</v>
          </cell>
          <cell r="C175">
            <v>3.73</v>
          </cell>
          <cell r="D175">
            <v>2722900</v>
          </cell>
          <cell r="E175">
            <v>146000</v>
          </cell>
          <cell r="F175">
            <v>707954</v>
          </cell>
          <cell r="G175">
            <v>3576854</v>
          </cell>
          <cell r="H175">
            <v>137571</v>
          </cell>
        </row>
        <row r="177">
          <cell r="A177" t="str">
            <v>LT4200</v>
          </cell>
          <cell r="B177" t="str">
            <v>2. Thî m¸y kiªm c¬ khÝ, thî b¬m</v>
          </cell>
        </row>
        <row r="178">
          <cell r="A178" t="str">
            <v>LT4201</v>
          </cell>
          <cell r="B178">
            <v>1</v>
          </cell>
          <cell r="C178">
            <v>2.51</v>
          </cell>
          <cell r="D178">
            <v>1832299.9999999998</v>
          </cell>
          <cell r="E178">
            <v>146000</v>
          </cell>
          <cell r="F178">
            <v>476398</v>
          </cell>
          <cell r="G178">
            <v>2454698</v>
          </cell>
          <cell r="H178">
            <v>94411</v>
          </cell>
        </row>
        <row r="179">
          <cell r="A179" t="str">
            <v>LT4202</v>
          </cell>
          <cell r="B179">
            <v>2</v>
          </cell>
          <cell r="C179">
            <v>2.93</v>
          </cell>
          <cell r="D179">
            <v>2138900</v>
          </cell>
          <cell r="E179">
            <v>146000</v>
          </cell>
          <cell r="F179">
            <v>556114</v>
          </cell>
          <cell r="G179">
            <v>2841014</v>
          </cell>
          <cell r="H179">
            <v>109270</v>
          </cell>
        </row>
        <row r="180">
          <cell r="A180" t="str">
            <v>LT4203</v>
          </cell>
          <cell r="B180">
            <v>3</v>
          </cell>
          <cell r="C180">
            <v>3.49</v>
          </cell>
          <cell r="D180">
            <v>2547700</v>
          </cell>
          <cell r="E180">
            <v>146000</v>
          </cell>
          <cell r="F180">
            <v>662402</v>
          </cell>
          <cell r="G180">
            <v>3356102</v>
          </cell>
          <cell r="H180">
            <v>129081</v>
          </cell>
        </row>
        <row r="181">
          <cell r="A181" t="str">
            <v>LT4204</v>
          </cell>
          <cell r="B181">
            <v>4</v>
          </cell>
          <cell r="C181">
            <v>4.16</v>
          </cell>
          <cell r="D181">
            <v>3036800</v>
          </cell>
          <cell r="E181">
            <v>146000</v>
          </cell>
          <cell r="F181">
            <v>789568</v>
          </cell>
          <cell r="G181">
            <v>3972368</v>
          </cell>
          <cell r="H181">
            <v>152783</v>
          </cell>
        </row>
        <row r="183">
          <cell r="A183" t="str">
            <v>LT4300</v>
          </cell>
          <cell r="B183" t="str">
            <v>3. Thî m¸y, thî ®iÖn, v« tuyÕn ®iÖn</v>
          </cell>
        </row>
        <row r="184">
          <cell r="A184" t="str">
            <v>LT4301</v>
          </cell>
          <cell r="B184">
            <v>1</v>
          </cell>
          <cell r="C184">
            <v>2.35</v>
          </cell>
          <cell r="D184">
            <v>1715500</v>
          </cell>
          <cell r="E184">
            <v>146000</v>
          </cell>
          <cell r="F184">
            <v>446030</v>
          </cell>
          <cell r="G184">
            <v>2307530</v>
          </cell>
          <cell r="H184">
            <v>88751</v>
          </cell>
        </row>
        <row r="185">
          <cell r="A185" t="str">
            <v>LT4302</v>
          </cell>
          <cell r="B185">
            <v>2</v>
          </cell>
          <cell r="C185">
            <v>2.72</v>
          </cell>
          <cell r="D185">
            <v>1985600.0000000002</v>
          </cell>
          <cell r="E185">
            <v>146000</v>
          </cell>
          <cell r="F185">
            <v>516256</v>
          </cell>
          <cell r="G185">
            <v>2647856</v>
          </cell>
          <cell r="H185">
            <v>101841</v>
          </cell>
        </row>
        <row r="186">
          <cell r="A186" t="str">
            <v>LT4303</v>
          </cell>
          <cell r="B186">
            <v>3</v>
          </cell>
          <cell r="C186">
            <v>3.25</v>
          </cell>
          <cell r="D186">
            <v>2372500</v>
          </cell>
          <cell r="E186">
            <v>146000</v>
          </cell>
          <cell r="F186">
            <v>616850</v>
          </cell>
          <cell r="G186">
            <v>3135350</v>
          </cell>
          <cell r="H186">
            <v>120590</v>
          </cell>
        </row>
        <row r="187">
          <cell r="A187" t="str">
            <v>LT4304</v>
          </cell>
          <cell r="B187">
            <v>4</v>
          </cell>
          <cell r="C187">
            <v>3.91</v>
          </cell>
          <cell r="D187">
            <v>2854300</v>
          </cell>
          <cell r="E187">
            <v>146000</v>
          </cell>
          <cell r="F187">
            <v>742118</v>
          </cell>
          <cell r="G187">
            <v>3742418</v>
          </cell>
          <cell r="H187">
            <v>143939</v>
          </cell>
        </row>
        <row r="189">
          <cell r="A189" t="str">
            <v>LT5000</v>
          </cell>
          <cell r="B189" t="str">
            <v>tµu n¹o vÐt biÓn - b.5 (trang 102)</v>
          </cell>
        </row>
        <row r="191">
          <cell r="A191" t="str">
            <v>LT5100</v>
          </cell>
          <cell r="B191" t="str">
            <v>1. ThuyÒn tr­ëng tµu hót bông</v>
          </cell>
        </row>
        <row r="192">
          <cell r="A192" t="str">
            <v>LT5110</v>
          </cell>
          <cell r="B192" t="str">
            <v>- Tµu hót, tµu cuèc tõ 300m3/h ®Õn d­íi 800m3/h</v>
          </cell>
        </row>
        <row r="193">
          <cell r="A193" t="str">
            <v>LT5111</v>
          </cell>
          <cell r="B193">
            <v>1</v>
          </cell>
          <cell r="C193">
            <v>5.19</v>
          </cell>
          <cell r="D193">
            <v>3788700.0000000005</v>
          </cell>
          <cell r="E193">
            <v>146000</v>
          </cell>
          <cell r="F193">
            <v>985062</v>
          </cell>
          <cell r="G193">
            <v>4919762</v>
          </cell>
          <cell r="H193">
            <v>189222</v>
          </cell>
        </row>
        <row r="194">
          <cell r="A194" t="str">
            <v>LT5112</v>
          </cell>
          <cell r="B194">
            <v>2</v>
          </cell>
          <cell r="C194">
            <v>5.41</v>
          </cell>
          <cell r="D194">
            <v>3949300</v>
          </cell>
          <cell r="E194">
            <v>146000</v>
          </cell>
          <cell r="F194">
            <v>1026818</v>
          </cell>
          <cell r="G194">
            <v>5122118</v>
          </cell>
          <cell r="H194">
            <v>197005</v>
          </cell>
        </row>
        <row r="195">
          <cell r="A195" t="str">
            <v>LT5120</v>
          </cell>
          <cell r="B195" t="str">
            <v>- Tµu hót, tµu cuèc tõ 800m3/h trë lªn</v>
          </cell>
        </row>
        <row r="196">
          <cell r="A196" t="str">
            <v>LT5121</v>
          </cell>
          <cell r="B196">
            <v>1</v>
          </cell>
          <cell r="C196">
            <v>5.41</v>
          </cell>
          <cell r="D196">
            <v>3949300</v>
          </cell>
          <cell r="E196">
            <v>146000</v>
          </cell>
          <cell r="F196">
            <v>1026818</v>
          </cell>
          <cell r="G196">
            <v>5122118</v>
          </cell>
          <cell r="H196">
            <v>197005</v>
          </cell>
        </row>
        <row r="197">
          <cell r="A197" t="str">
            <v>LT5122</v>
          </cell>
          <cell r="B197">
            <v>2</v>
          </cell>
          <cell r="C197">
            <v>5.75</v>
          </cell>
          <cell r="D197">
            <v>4197500</v>
          </cell>
          <cell r="E197">
            <v>146000</v>
          </cell>
          <cell r="F197">
            <v>1091350</v>
          </cell>
          <cell r="G197">
            <v>5434850</v>
          </cell>
          <cell r="H197">
            <v>209033</v>
          </cell>
        </row>
        <row r="199">
          <cell r="A199" t="str">
            <v>LT5200</v>
          </cell>
          <cell r="B199" t="str">
            <v>2. M¸y tr­ëng, ThuyÒn tr­ëng tµu cuèc, tµu hót phun, tµu NV b»ng gÇu ngo¹m</v>
          </cell>
        </row>
        <row r="200">
          <cell r="A200" t="str">
            <v>LT5210</v>
          </cell>
          <cell r="B200" t="str">
            <v>- Tµu hót, tµu cuèc tõ 300m3/h ®Õn d­íi 800m3/h</v>
          </cell>
        </row>
        <row r="201">
          <cell r="A201" t="str">
            <v>LT5211</v>
          </cell>
          <cell r="B201">
            <v>1</v>
          </cell>
          <cell r="C201">
            <v>4.92</v>
          </cell>
          <cell r="D201">
            <v>3591600</v>
          </cell>
          <cell r="E201">
            <v>146000</v>
          </cell>
          <cell r="F201">
            <v>933816</v>
          </cell>
          <cell r="G201">
            <v>4671416</v>
          </cell>
          <cell r="H201">
            <v>179670</v>
          </cell>
        </row>
        <row r="202">
          <cell r="A202" t="str">
            <v>LT5212</v>
          </cell>
          <cell r="B202">
            <v>2</v>
          </cell>
          <cell r="C202">
            <v>5.19</v>
          </cell>
          <cell r="D202">
            <v>3788700.0000000005</v>
          </cell>
          <cell r="E202">
            <v>146000</v>
          </cell>
          <cell r="F202">
            <v>985062</v>
          </cell>
          <cell r="G202">
            <v>4919762</v>
          </cell>
          <cell r="H202">
            <v>189222</v>
          </cell>
        </row>
        <row r="203">
          <cell r="A203" t="str">
            <v>LT5220</v>
          </cell>
          <cell r="B203" t="str">
            <v>- Tµu hót, tµu cuèc tõ 800m3/h trë lªn</v>
          </cell>
        </row>
        <row r="204">
          <cell r="A204" t="str">
            <v>LT5221</v>
          </cell>
          <cell r="B204">
            <v>1</v>
          </cell>
          <cell r="C204">
            <v>5.19</v>
          </cell>
          <cell r="D204">
            <v>3788700.0000000005</v>
          </cell>
          <cell r="E204">
            <v>146000</v>
          </cell>
          <cell r="F204">
            <v>985062</v>
          </cell>
          <cell r="G204">
            <v>4919762</v>
          </cell>
          <cell r="H204">
            <v>189222</v>
          </cell>
        </row>
        <row r="205">
          <cell r="A205" t="str">
            <v>LT5222</v>
          </cell>
          <cell r="B205">
            <v>2</v>
          </cell>
          <cell r="C205">
            <v>5.41</v>
          </cell>
          <cell r="D205">
            <v>3949300</v>
          </cell>
          <cell r="E205">
            <v>146000</v>
          </cell>
          <cell r="F205">
            <v>1026818</v>
          </cell>
          <cell r="G205">
            <v>5122118</v>
          </cell>
          <cell r="H205">
            <v>197005</v>
          </cell>
        </row>
        <row r="207">
          <cell r="A207" t="str">
            <v>LT5300</v>
          </cell>
          <cell r="B207" t="str">
            <v>3. §iÖn tr­ëng, ®¹i phã tµu cuèc; kü thuËt viªn cuèc 1 tµu hót bông; thuyÒn phã 2,</v>
          </cell>
        </row>
        <row r="208">
          <cell r="B208" t="str">
            <v>m¸y 3 tµu hót bông; m¸y 3, kü thuËt viªn cuèc 2 tµu cuèc, tµu hót phun, </v>
          </cell>
        </row>
        <row r="209">
          <cell r="B209" t="str">
            <v>tµu nv b»ng gÇu ngo¹m</v>
          </cell>
        </row>
        <row r="210">
          <cell r="A210" t="str">
            <v>LT5310</v>
          </cell>
          <cell r="B210" t="str">
            <v>- Tµu hót, tµu cuèc tõ 300m3/h ®Õn d­íi 800m3/h</v>
          </cell>
        </row>
        <row r="211">
          <cell r="A211" t="str">
            <v>LT5311</v>
          </cell>
          <cell r="B211">
            <v>1</v>
          </cell>
          <cell r="C211">
            <v>4.37</v>
          </cell>
          <cell r="D211">
            <v>3190100</v>
          </cell>
          <cell r="E211">
            <v>146000</v>
          </cell>
          <cell r="F211">
            <v>829426</v>
          </cell>
          <cell r="G211">
            <v>4165526</v>
          </cell>
          <cell r="H211">
            <v>160213</v>
          </cell>
        </row>
        <row r="212">
          <cell r="A212" t="str">
            <v>LT5312</v>
          </cell>
          <cell r="B212">
            <v>2</v>
          </cell>
          <cell r="C212">
            <v>4.68</v>
          </cell>
          <cell r="D212">
            <v>3416400</v>
          </cell>
          <cell r="E212">
            <v>146000</v>
          </cell>
          <cell r="F212">
            <v>888264</v>
          </cell>
          <cell r="G212">
            <v>4450664</v>
          </cell>
          <cell r="H212">
            <v>171179</v>
          </cell>
        </row>
        <row r="213">
          <cell r="A213" t="str">
            <v>LT5320</v>
          </cell>
          <cell r="B213" t="str">
            <v>- Tµu hót, tµu cuèc tõ 800m3/h trë lªn</v>
          </cell>
        </row>
        <row r="214">
          <cell r="A214" t="str">
            <v>LT5321</v>
          </cell>
          <cell r="B214">
            <v>1</v>
          </cell>
          <cell r="C214">
            <v>4.68</v>
          </cell>
          <cell r="D214">
            <v>3416400</v>
          </cell>
          <cell r="E214">
            <v>146000</v>
          </cell>
          <cell r="F214">
            <v>888264</v>
          </cell>
          <cell r="G214">
            <v>4450664</v>
          </cell>
          <cell r="H214">
            <v>171179</v>
          </cell>
        </row>
        <row r="215">
          <cell r="A215" t="str">
            <v>LT5322</v>
          </cell>
          <cell r="B215">
            <v>2</v>
          </cell>
          <cell r="C215">
            <v>4.92</v>
          </cell>
          <cell r="D215">
            <v>3591600</v>
          </cell>
          <cell r="E215">
            <v>146000</v>
          </cell>
          <cell r="F215">
            <v>933816</v>
          </cell>
          <cell r="G215">
            <v>4671416</v>
          </cell>
          <cell r="H215">
            <v>179670</v>
          </cell>
        </row>
        <row r="217">
          <cell r="A217" t="str">
            <v>LT5400</v>
          </cell>
          <cell r="B217" t="str">
            <v>4. §¹i phã, m¸y 2 tµu hót bông; m¸y 2, kü thuËt viªn cuèc 1 tµu cuèc, tµu hót phun,</v>
          </cell>
        </row>
        <row r="218">
          <cell r="B218" t="str">
            <v>tµu nv b»ng gÇu ngo¹m</v>
          </cell>
        </row>
        <row r="219">
          <cell r="A219" t="str">
            <v>LT5410</v>
          </cell>
          <cell r="B219" t="str">
            <v>- Tµu hót, tµu cuèc tõ 300m3/h ®Õn d­íi 800m3/h</v>
          </cell>
        </row>
        <row r="220">
          <cell r="A220" t="str">
            <v>LT5411</v>
          </cell>
          <cell r="B220">
            <v>1</v>
          </cell>
          <cell r="C220">
            <v>4.68</v>
          </cell>
          <cell r="D220">
            <v>3416400</v>
          </cell>
          <cell r="E220">
            <v>146000</v>
          </cell>
          <cell r="F220">
            <v>888264</v>
          </cell>
          <cell r="G220">
            <v>4450664</v>
          </cell>
          <cell r="H220">
            <v>171179</v>
          </cell>
        </row>
        <row r="221">
          <cell r="A221" t="str">
            <v>LT5412</v>
          </cell>
          <cell r="B221">
            <v>2</v>
          </cell>
          <cell r="C221">
            <v>4.92</v>
          </cell>
          <cell r="D221">
            <v>3591600</v>
          </cell>
          <cell r="E221">
            <v>146000</v>
          </cell>
          <cell r="F221">
            <v>933816</v>
          </cell>
          <cell r="G221">
            <v>4671416</v>
          </cell>
          <cell r="H221">
            <v>179670</v>
          </cell>
        </row>
        <row r="222">
          <cell r="A222" t="str">
            <v>LT5420</v>
          </cell>
          <cell r="B222" t="str">
            <v>- Tµu hót, tµu cuèc tõ 800m3/h trë lªn</v>
          </cell>
        </row>
        <row r="223">
          <cell r="A223" t="str">
            <v>LT5421</v>
          </cell>
          <cell r="B223">
            <v>1</v>
          </cell>
          <cell r="C223">
            <v>4.92</v>
          </cell>
          <cell r="D223">
            <v>3591600</v>
          </cell>
          <cell r="E223">
            <v>146000</v>
          </cell>
          <cell r="F223">
            <v>933816</v>
          </cell>
          <cell r="G223">
            <v>4671416</v>
          </cell>
          <cell r="H223">
            <v>179670</v>
          </cell>
        </row>
        <row r="224">
          <cell r="A224" t="str">
            <v>LT5422</v>
          </cell>
          <cell r="B224">
            <v>2</v>
          </cell>
          <cell r="C224">
            <v>5.19</v>
          </cell>
          <cell r="D224">
            <v>3788700.0000000005</v>
          </cell>
          <cell r="E224">
            <v>146000</v>
          </cell>
          <cell r="F224">
            <v>985062</v>
          </cell>
          <cell r="G224">
            <v>4919762</v>
          </cell>
          <cell r="H224">
            <v>189222</v>
          </cell>
        </row>
        <row r="226">
          <cell r="A226" t="str">
            <v>LT5500</v>
          </cell>
          <cell r="B226" t="str">
            <v>5. ThuyÒn phã 2 tµu cuèc, kü thuËt viªn cuèc 2 tµu hót; thuyÒn phã 3, m¸y 4 tµu hót</v>
          </cell>
        </row>
        <row r="227">
          <cell r="B227" t="str">
            <v>bông; m¸y 3, kü thuËt viªn cuèc 3 tµu cuèc, tµu hót phun, tµu nv b»ng gÇu ngo¹m</v>
          </cell>
        </row>
        <row r="228">
          <cell r="A228" t="str">
            <v>LT5510</v>
          </cell>
          <cell r="B228" t="str">
            <v>- Tµu hót, tµu cuèc tõ 300m3/h ®Õn d­íi 800m3/h</v>
          </cell>
        </row>
        <row r="229">
          <cell r="A229" t="str">
            <v>LT5511</v>
          </cell>
          <cell r="B229">
            <v>1</v>
          </cell>
          <cell r="C229">
            <v>4.16</v>
          </cell>
          <cell r="D229">
            <v>3036800</v>
          </cell>
          <cell r="E229">
            <v>146000</v>
          </cell>
          <cell r="F229">
            <v>789568</v>
          </cell>
          <cell r="G229">
            <v>3972368</v>
          </cell>
          <cell r="H229">
            <v>152783</v>
          </cell>
        </row>
        <row r="230">
          <cell r="A230" t="str">
            <v>LT5512</v>
          </cell>
          <cell r="B230">
            <v>2</v>
          </cell>
          <cell r="C230">
            <v>4.37</v>
          </cell>
          <cell r="D230">
            <v>3190100</v>
          </cell>
          <cell r="E230">
            <v>146000</v>
          </cell>
          <cell r="F230">
            <v>829426</v>
          </cell>
          <cell r="G230">
            <v>4165526</v>
          </cell>
          <cell r="H230">
            <v>160213</v>
          </cell>
        </row>
        <row r="231">
          <cell r="A231" t="str">
            <v>LT5520</v>
          </cell>
          <cell r="B231" t="str">
            <v>- Tµu hót, tµu cuèc tõ 800m3/h trë lªn</v>
          </cell>
        </row>
        <row r="232">
          <cell r="A232" t="str">
            <v>LT5521</v>
          </cell>
          <cell r="B232">
            <v>1</v>
          </cell>
          <cell r="C232">
            <v>4.37</v>
          </cell>
          <cell r="D232">
            <v>3190100</v>
          </cell>
          <cell r="E232">
            <v>146000</v>
          </cell>
          <cell r="F232">
            <v>829426</v>
          </cell>
          <cell r="G232">
            <v>4165526</v>
          </cell>
          <cell r="H232">
            <v>160213</v>
          </cell>
        </row>
        <row r="233">
          <cell r="A233" t="str">
            <v>LT5522</v>
          </cell>
          <cell r="B233">
            <v>2</v>
          </cell>
          <cell r="C233">
            <v>4.68</v>
          </cell>
          <cell r="D233">
            <v>3416400</v>
          </cell>
          <cell r="E233">
            <v>146000</v>
          </cell>
          <cell r="F233">
            <v>888264</v>
          </cell>
          <cell r="G233">
            <v>4450664</v>
          </cell>
          <cell r="H233">
            <v>171179</v>
          </cell>
        </row>
        <row r="235">
          <cell r="A235" t="str">
            <v>LT5600</v>
          </cell>
          <cell r="B235" t="str">
            <v>6. ThuyÒn phã 3 tµu cuèc, tµu hót phun, tµu nv b»ng gÇu ngo¹m; kü thuËt viªn</v>
          </cell>
        </row>
        <row r="236">
          <cell r="B236" t="str">
            <v>cuèc 3 tµu hót bông</v>
          </cell>
        </row>
        <row r="237">
          <cell r="A237" t="str">
            <v>LT5610</v>
          </cell>
          <cell r="B237" t="str">
            <v>- Tµu hót, tµu cuèc tõ 300m3/h ®Õn d­íi 800m3/h</v>
          </cell>
        </row>
        <row r="238">
          <cell r="A238" t="str">
            <v>LT5611</v>
          </cell>
          <cell r="B238">
            <v>1</v>
          </cell>
          <cell r="C238">
            <v>3.91</v>
          </cell>
          <cell r="D238">
            <v>2854300</v>
          </cell>
          <cell r="E238">
            <v>146000</v>
          </cell>
          <cell r="F238">
            <v>742118</v>
          </cell>
          <cell r="G238">
            <v>3742418</v>
          </cell>
          <cell r="H238">
            <v>143939</v>
          </cell>
        </row>
        <row r="239">
          <cell r="A239" t="str">
            <v>LT5612</v>
          </cell>
          <cell r="B239">
            <v>2</v>
          </cell>
          <cell r="C239">
            <v>4.16</v>
          </cell>
          <cell r="D239">
            <v>3036800</v>
          </cell>
          <cell r="E239">
            <v>146000</v>
          </cell>
          <cell r="F239">
            <v>789568</v>
          </cell>
          <cell r="G239">
            <v>3972368</v>
          </cell>
          <cell r="H239">
            <v>152783</v>
          </cell>
        </row>
        <row r="240">
          <cell r="A240" t="str">
            <v>LT5620</v>
          </cell>
          <cell r="B240" t="str">
            <v>- Tµu hót, tµu cuèc tõ 800m3/h trë lªn</v>
          </cell>
        </row>
        <row r="241">
          <cell r="A241" t="str">
            <v>LT5621</v>
          </cell>
          <cell r="B241">
            <v>1</v>
          </cell>
          <cell r="C241">
            <v>4.16</v>
          </cell>
          <cell r="D241">
            <v>3036800</v>
          </cell>
          <cell r="E241">
            <v>146000</v>
          </cell>
          <cell r="F241">
            <v>789568</v>
          </cell>
          <cell r="G241">
            <v>3972368</v>
          </cell>
          <cell r="H241">
            <v>152783</v>
          </cell>
        </row>
        <row r="242">
          <cell r="A242" t="str">
            <v>LT5622</v>
          </cell>
          <cell r="B242">
            <v>2</v>
          </cell>
          <cell r="C242">
            <v>4.37</v>
          </cell>
          <cell r="D242">
            <v>3190100</v>
          </cell>
          <cell r="E242">
            <v>146000</v>
          </cell>
          <cell r="F242">
            <v>829426</v>
          </cell>
          <cell r="G242">
            <v>4165526</v>
          </cell>
          <cell r="H242">
            <v>160213</v>
          </cell>
        </row>
        <row r="244">
          <cell r="A244" t="str">
            <v>LT5700</v>
          </cell>
          <cell r="B244" t="str">
            <v>7. Thî m¸y, ®iÖn, ®iÖn b¸o</v>
          </cell>
        </row>
        <row r="245">
          <cell r="A245" t="str">
            <v>LT5701</v>
          </cell>
          <cell r="B245">
            <v>1</v>
          </cell>
          <cell r="C245">
            <v>2.35</v>
          </cell>
          <cell r="D245">
            <v>1715500</v>
          </cell>
          <cell r="E245">
            <v>146000</v>
          </cell>
          <cell r="F245">
            <v>446030</v>
          </cell>
          <cell r="G245">
            <v>2307530</v>
          </cell>
          <cell r="H245">
            <v>88751</v>
          </cell>
        </row>
        <row r="246">
          <cell r="A246" t="str">
            <v>LT5702</v>
          </cell>
          <cell r="B246">
            <v>2</v>
          </cell>
          <cell r="C246">
            <v>2.66</v>
          </cell>
          <cell r="D246">
            <v>1941800</v>
          </cell>
          <cell r="E246">
            <v>146000</v>
          </cell>
          <cell r="F246">
            <v>504868</v>
          </cell>
          <cell r="G246">
            <v>2592668</v>
          </cell>
          <cell r="H246">
            <v>99718</v>
          </cell>
        </row>
        <row r="247">
          <cell r="A247" t="str">
            <v>LT5703</v>
          </cell>
          <cell r="B247">
            <v>3</v>
          </cell>
          <cell r="C247">
            <v>3.12</v>
          </cell>
          <cell r="D247">
            <v>2277600</v>
          </cell>
          <cell r="E247">
            <v>146000</v>
          </cell>
          <cell r="F247">
            <v>592176</v>
          </cell>
          <cell r="G247">
            <v>3015776</v>
          </cell>
          <cell r="H247">
            <v>115991</v>
          </cell>
        </row>
        <row r="248">
          <cell r="A248" t="str">
            <v>LT5704</v>
          </cell>
          <cell r="B248">
            <v>4</v>
          </cell>
          <cell r="C248">
            <v>3.73</v>
          </cell>
          <cell r="D248">
            <v>2722900</v>
          </cell>
          <cell r="E248">
            <v>146000</v>
          </cell>
          <cell r="F248">
            <v>707954</v>
          </cell>
          <cell r="G248">
            <v>3576854</v>
          </cell>
          <cell r="H248">
            <v>137571</v>
          </cell>
        </row>
        <row r="250">
          <cell r="A250" t="str">
            <v>LT5800</v>
          </cell>
          <cell r="B250" t="str">
            <v>8. Thuû thñ, thî cuèc</v>
          </cell>
        </row>
        <row r="251">
          <cell r="A251" t="str">
            <v>LT5801</v>
          </cell>
          <cell r="B251">
            <v>1</v>
          </cell>
          <cell r="C251">
            <v>2.18</v>
          </cell>
          <cell r="D251">
            <v>1591400.0000000002</v>
          </cell>
          <cell r="E251">
            <v>146000</v>
          </cell>
          <cell r="F251">
            <v>413764</v>
          </cell>
          <cell r="G251">
            <v>2151164</v>
          </cell>
          <cell r="H251">
            <v>82737</v>
          </cell>
        </row>
        <row r="252">
          <cell r="A252" t="str">
            <v>LT5802</v>
          </cell>
          <cell r="B252">
            <v>2</v>
          </cell>
          <cell r="C252">
            <v>2.59</v>
          </cell>
          <cell r="D252">
            <v>1890700</v>
          </cell>
          <cell r="E252">
            <v>146000</v>
          </cell>
          <cell r="F252">
            <v>491582</v>
          </cell>
          <cell r="G252">
            <v>2528282</v>
          </cell>
          <cell r="H252">
            <v>97242</v>
          </cell>
        </row>
        <row r="253">
          <cell r="A253" t="str">
            <v>LT5803</v>
          </cell>
          <cell r="B253">
            <v>3</v>
          </cell>
          <cell r="C253">
            <v>3.08</v>
          </cell>
          <cell r="D253">
            <v>2248400</v>
          </cell>
          <cell r="E253">
            <v>146000</v>
          </cell>
          <cell r="F253">
            <v>584584</v>
          </cell>
          <cell r="G253">
            <v>2978984</v>
          </cell>
          <cell r="H253">
            <v>114576</v>
          </cell>
        </row>
        <row r="254">
          <cell r="A254" t="str">
            <v>LT5804</v>
          </cell>
          <cell r="B254">
            <v>4</v>
          </cell>
          <cell r="C254">
            <v>3.73</v>
          </cell>
          <cell r="D254">
            <v>2722900</v>
          </cell>
          <cell r="E254">
            <v>146000</v>
          </cell>
          <cell r="F254">
            <v>707954</v>
          </cell>
          <cell r="G254">
            <v>3576854</v>
          </cell>
          <cell r="H254">
            <v>137571</v>
          </cell>
        </row>
        <row r="256">
          <cell r="A256" t="str">
            <v>LT6000</v>
          </cell>
          <cell r="B256" t="str">
            <v>tµu n¹o vÐt s«ng - b.5 (trang 103)</v>
          </cell>
        </row>
        <row r="258">
          <cell r="A258" t="str">
            <v>LT6100</v>
          </cell>
          <cell r="B258" t="str">
            <v>1. ThuyÒn tr­ëng</v>
          </cell>
        </row>
        <row r="259">
          <cell r="A259" t="str">
            <v>LT6110</v>
          </cell>
          <cell r="B259" t="str">
            <v>- Tµu hót d­íi 150m3/h</v>
          </cell>
        </row>
        <row r="260">
          <cell r="A260" t="str">
            <v>LT6111</v>
          </cell>
          <cell r="B260">
            <v>1</v>
          </cell>
          <cell r="C260">
            <v>3.91</v>
          </cell>
          <cell r="D260">
            <v>2854300</v>
          </cell>
          <cell r="E260">
            <v>146000</v>
          </cell>
          <cell r="F260">
            <v>742118</v>
          </cell>
          <cell r="G260">
            <v>3742418</v>
          </cell>
          <cell r="H260">
            <v>143939</v>
          </cell>
        </row>
        <row r="261">
          <cell r="A261" t="str">
            <v>LT6112</v>
          </cell>
          <cell r="B261">
            <v>2</v>
          </cell>
          <cell r="C261">
            <v>4.16</v>
          </cell>
          <cell r="D261">
            <v>3036800</v>
          </cell>
          <cell r="E261">
            <v>146000</v>
          </cell>
          <cell r="F261">
            <v>789568</v>
          </cell>
          <cell r="G261">
            <v>3972368</v>
          </cell>
          <cell r="H261">
            <v>152783</v>
          </cell>
        </row>
        <row r="262">
          <cell r="A262" t="str">
            <v>LT6120</v>
          </cell>
          <cell r="B262" t="str">
            <v>- Tµu hót tõ 150m3/h ®Õn 300m3/h</v>
          </cell>
        </row>
        <row r="263">
          <cell r="A263" t="str">
            <v>LT6121</v>
          </cell>
          <cell r="B263">
            <v>1</v>
          </cell>
          <cell r="C263">
            <v>4.37</v>
          </cell>
          <cell r="D263">
            <v>3190100</v>
          </cell>
          <cell r="E263">
            <v>146000</v>
          </cell>
          <cell r="F263">
            <v>829426</v>
          </cell>
          <cell r="G263">
            <v>4165526</v>
          </cell>
          <cell r="H263">
            <v>160213</v>
          </cell>
        </row>
        <row r="264">
          <cell r="A264" t="str">
            <v>LT6122</v>
          </cell>
          <cell r="B264">
            <v>2</v>
          </cell>
          <cell r="C264">
            <v>4.68</v>
          </cell>
          <cell r="D264">
            <v>3416400</v>
          </cell>
          <cell r="E264">
            <v>146000</v>
          </cell>
          <cell r="F264">
            <v>888264</v>
          </cell>
          <cell r="G264">
            <v>4450664</v>
          </cell>
          <cell r="H264">
            <v>171179</v>
          </cell>
        </row>
        <row r="265">
          <cell r="A265" t="str">
            <v>LT6130</v>
          </cell>
          <cell r="B265" t="str">
            <v>- Tµu hót trªn 300m3/h, tµu cuèc d­íi 300m3/h</v>
          </cell>
        </row>
        <row r="266">
          <cell r="A266" t="str">
            <v>LT6131</v>
          </cell>
          <cell r="B266">
            <v>1</v>
          </cell>
          <cell r="C266">
            <v>4.88</v>
          </cell>
          <cell r="D266">
            <v>3562400</v>
          </cell>
          <cell r="E266">
            <v>146000</v>
          </cell>
          <cell r="F266">
            <v>926224</v>
          </cell>
          <cell r="G266">
            <v>4634624</v>
          </cell>
          <cell r="H266">
            <v>178255</v>
          </cell>
        </row>
        <row r="267">
          <cell r="A267" t="str">
            <v>LT6132</v>
          </cell>
          <cell r="B267">
            <v>2</v>
          </cell>
          <cell r="C267">
            <v>5.19</v>
          </cell>
          <cell r="D267">
            <v>3788700.0000000005</v>
          </cell>
          <cell r="E267">
            <v>146000</v>
          </cell>
          <cell r="F267">
            <v>985062</v>
          </cell>
          <cell r="G267">
            <v>4919762</v>
          </cell>
          <cell r="H267">
            <v>189222</v>
          </cell>
        </row>
        <row r="269">
          <cell r="A269" t="str">
            <v>LT6200</v>
          </cell>
          <cell r="B269" t="str">
            <v>2. M¸y tr­ëng</v>
          </cell>
        </row>
        <row r="270">
          <cell r="A270" t="str">
            <v>LT6210</v>
          </cell>
          <cell r="B270" t="str">
            <v>- Tµu hót d­íi 150m3/h</v>
          </cell>
        </row>
        <row r="271">
          <cell r="A271" t="str">
            <v>LT6211</v>
          </cell>
          <cell r="B271">
            <v>1</v>
          </cell>
          <cell r="C271">
            <v>3.5</v>
          </cell>
          <cell r="D271">
            <v>2555000</v>
          </cell>
          <cell r="E271">
            <v>146000</v>
          </cell>
          <cell r="F271">
            <v>664300</v>
          </cell>
          <cell r="G271">
            <v>3365300</v>
          </cell>
          <cell r="H271">
            <v>129435</v>
          </cell>
        </row>
        <row r="272">
          <cell r="A272" t="str">
            <v>LT6212</v>
          </cell>
          <cell r="B272">
            <v>2</v>
          </cell>
          <cell r="C272">
            <v>3.73</v>
          </cell>
          <cell r="D272">
            <v>2722900</v>
          </cell>
          <cell r="E272">
            <v>146000</v>
          </cell>
          <cell r="F272">
            <v>707954</v>
          </cell>
          <cell r="G272">
            <v>3576854</v>
          </cell>
          <cell r="H272">
            <v>137571</v>
          </cell>
        </row>
        <row r="273">
          <cell r="A273" t="str">
            <v>LT6220</v>
          </cell>
          <cell r="B273" t="str">
            <v>- Tµu hót tõ 150m3/h ®Õn 300m3/h</v>
          </cell>
        </row>
        <row r="274">
          <cell r="A274" t="str">
            <v>LT6221</v>
          </cell>
          <cell r="B274">
            <v>1</v>
          </cell>
          <cell r="C274">
            <v>4.16</v>
          </cell>
          <cell r="D274">
            <v>3036800</v>
          </cell>
          <cell r="E274">
            <v>146000</v>
          </cell>
          <cell r="F274">
            <v>789568</v>
          </cell>
          <cell r="G274">
            <v>3972368</v>
          </cell>
          <cell r="H274">
            <v>152783</v>
          </cell>
        </row>
        <row r="275">
          <cell r="A275" t="str">
            <v>LT6222</v>
          </cell>
          <cell r="B275">
            <v>2</v>
          </cell>
          <cell r="C275">
            <v>4.37</v>
          </cell>
          <cell r="D275">
            <v>3190100</v>
          </cell>
          <cell r="E275">
            <v>146000</v>
          </cell>
          <cell r="F275">
            <v>829426</v>
          </cell>
          <cell r="G275">
            <v>4165526</v>
          </cell>
          <cell r="H275">
            <v>160213</v>
          </cell>
        </row>
        <row r="276">
          <cell r="A276" t="str">
            <v>LT6230</v>
          </cell>
          <cell r="B276" t="str">
            <v>- Tµu hót trªn 300m3/h, tµu cuèc d­íi 300m3/h</v>
          </cell>
        </row>
        <row r="277">
          <cell r="A277" t="str">
            <v>LT6231</v>
          </cell>
          <cell r="B277">
            <v>1</v>
          </cell>
          <cell r="C277">
            <v>4.71</v>
          </cell>
          <cell r="D277">
            <v>3438300</v>
          </cell>
          <cell r="E277">
            <v>146000</v>
          </cell>
          <cell r="F277">
            <v>893958</v>
          </cell>
          <cell r="G277">
            <v>4478258</v>
          </cell>
          <cell r="H277">
            <v>172241</v>
          </cell>
        </row>
        <row r="278">
          <cell r="A278" t="str">
            <v>LT6232</v>
          </cell>
          <cell r="B278">
            <v>2</v>
          </cell>
          <cell r="C278">
            <v>5.07</v>
          </cell>
          <cell r="D278">
            <v>3701100</v>
          </cell>
          <cell r="E278">
            <v>146000</v>
          </cell>
          <cell r="F278">
            <v>962286</v>
          </cell>
          <cell r="G278">
            <v>4809386</v>
          </cell>
          <cell r="H278">
            <v>184976</v>
          </cell>
        </row>
        <row r="280">
          <cell r="A280" t="str">
            <v>LT6300</v>
          </cell>
          <cell r="B280" t="str">
            <v>3. §iÖn tr­ëng</v>
          </cell>
        </row>
        <row r="281">
          <cell r="A281" t="str">
            <v>LT6330</v>
          </cell>
          <cell r="B281" t="str">
            <v>- Tµu hót trªn 300m3/h, tµu cuèc d­íi 300m3/h</v>
          </cell>
        </row>
        <row r="282">
          <cell r="A282" t="str">
            <v>LT6331</v>
          </cell>
          <cell r="B282">
            <v>1</v>
          </cell>
          <cell r="C282">
            <v>4.16</v>
          </cell>
          <cell r="D282">
            <v>3036800</v>
          </cell>
          <cell r="E282">
            <v>146000</v>
          </cell>
          <cell r="F282">
            <v>789568</v>
          </cell>
          <cell r="G282">
            <v>3972368</v>
          </cell>
          <cell r="H282">
            <v>152783</v>
          </cell>
        </row>
        <row r="283">
          <cell r="A283" t="str">
            <v>LT6332</v>
          </cell>
          <cell r="B283">
            <v>2</v>
          </cell>
          <cell r="C283">
            <v>4.36</v>
          </cell>
          <cell r="D283">
            <v>3182800.0000000005</v>
          </cell>
          <cell r="E283">
            <v>146000</v>
          </cell>
          <cell r="F283">
            <v>827528</v>
          </cell>
          <cell r="G283">
            <v>4156328.0000000005</v>
          </cell>
          <cell r="H283">
            <v>159859</v>
          </cell>
        </row>
        <row r="285">
          <cell r="A285" t="str">
            <v>LT6400</v>
          </cell>
          <cell r="B285" t="str">
            <v>4. M¸y 2, kü thuËt viªn cuèc 1</v>
          </cell>
        </row>
        <row r="286">
          <cell r="A286" t="str">
            <v>LT6410</v>
          </cell>
          <cell r="B286" t="str">
            <v>- Tµu hót d­íi 150m3/h</v>
          </cell>
        </row>
        <row r="287">
          <cell r="A287" t="str">
            <v>LT6411</v>
          </cell>
          <cell r="B287">
            <v>1</v>
          </cell>
          <cell r="C287">
            <v>3.48</v>
          </cell>
          <cell r="D287">
            <v>2540400</v>
          </cell>
          <cell r="E287">
            <v>146000</v>
          </cell>
          <cell r="F287">
            <v>660504</v>
          </cell>
          <cell r="G287">
            <v>3346904</v>
          </cell>
          <cell r="H287">
            <v>128727</v>
          </cell>
        </row>
        <row r="288">
          <cell r="A288" t="str">
            <v>LT6412</v>
          </cell>
          <cell r="B288">
            <v>2</v>
          </cell>
          <cell r="C288">
            <v>3.71</v>
          </cell>
          <cell r="D288">
            <v>2708300</v>
          </cell>
          <cell r="E288">
            <v>146000</v>
          </cell>
          <cell r="F288">
            <v>704158</v>
          </cell>
          <cell r="G288">
            <v>3558458</v>
          </cell>
          <cell r="H288">
            <v>136864</v>
          </cell>
        </row>
        <row r="289">
          <cell r="A289" t="str">
            <v>LT6420</v>
          </cell>
          <cell r="B289" t="str">
            <v>- Tµu hót tõ 150m3/h ®Õn 300m3/h</v>
          </cell>
        </row>
        <row r="290">
          <cell r="A290" t="str">
            <v>LT6421</v>
          </cell>
          <cell r="B290">
            <v>1</v>
          </cell>
          <cell r="C290">
            <v>4.09</v>
          </cell>
          <cell r="D290">
            <v>2985700</v>
          </cell>
          <cell r="E290">
            <v>146000</v>
          </cell>
          <cell r="F290">
            <v>776282</v>
          </cell>
          <cell r="G290">
            <v>3907982</v>
          </cell>
          <cell r="H290">
            <v>150307</v>
          </cell>
        </row>
        <row r="291">
          <cell r="A291" t="str">
            <v>LT6422</v>
          </cell>
          <cell r="B291">
            <v>2</v>
          </cell>
          <cell r="C291">
            <v>4.3</v>
          </cell>
          <cell r="D291">
            <v>3139000</v>
          </cell>
          <cell r="E291">
            <v>146000</v>
          </cell>
          <cell r="F291">
            <v>816140</v>
          </cell>
          <cell r="G291">
            <v>4101140</v>
          </cell>
          <cell r="H291">
            <v>157736</v>
          </cell>
        </row>
        <row r="292">
          <cell r="A292" t="str">
            <v>LT6430</v>
          </cell>
          <cell r="B292" t="str">
            <v>- Tµu hót trªn 300m3/h, tµu cuèc d­íi 300m3/h</v>
          </cell>
        </row>
        <row r="293">
          <cell r="A293" t="str">
            <v>LT6431</v>
          </cell>
          <cell r="B293">
            <v>1</v>
          </cell>
          <cell r="C293">
            <v>4.68</v>
          </cell>
          <cell r="D293">
            <v>3416400</v>
          </cell>
          <cell r="E293">
            <v>146000</v>
          </cell>
          <cell r="F293">
            <v>888264</v>
          </cell>
          <cell r="G293">
            <v>4450664</v>
          </cell>
          <cell r="H293">
            <v>171179</v>
          </cell>
        </row>
        <row r="294">
          <cell r="A294" t="str">
            <v>LT6432</v>
          </cell>
          <cell r="B294">
            <v>2</v>
          </cell>
          <cell r="C294">
            <v>4.92</v>
          </cell>
          <cell r="D294">
            <v>3591600</v>
          </cell>
          <cell r="E294">
            <v>146000</v>
          </cell>
          <cell r="F294">
            <v>933816</v>
          </cell>
          <cell r="G294">
            <v>4671416</v>
          </cell>
          <cell r="H294">
            <v>179670</v>
          </cell>
        </row>
        <row r="296">
          <cell r="A296" t="str">
            <v>LT6500</v>
          </cell>
          <cell r="B296" t="str">
            <v>5. M¸y 3, kü thuËt viªn cuèc 2</v>
          </cell>
        </row>
        <row r="297">
          <cell r="A297" t="str">
            <v>LT6510</v>
          </cell>
          <cell r="B297" t="str">
            <v>- Tµu hót d­íi 150m3/h</v>
          </cell>
        </row>
        <row r="298">
          <cell r="A298" t="str">
            <v>LT6511</v>
          </cell>
          <cell r="B298">
            <v>1</v>
          </cell>
          <cell r="C298">
            <v>3.17</v>
          </cell>
          <cell r="D298">
            <v>2314100</v>
          </cell>
          <cell r="E298">
            <v>146000</v>
          </cell>
          <cell r="F298">
            <v>601666</v>
          </cell>
          <cell r="G298">
            <v>3061766</v>
          </cell>
          <cell r="H298">
            <v>117760</v>
          </cell>
        </row>
        <row r="299">
          <cell r="A299" t="str">
            <v>LT6512</v>
          </cell>
          <cell r="B299">
            <v>2</v>
          </cell>
          <cell r="C299">
            <v>3.5</v>
          </cell>
          <cell r="D299">
            <v>2555000</v>
          </cell>
          <cell r="E299">
            <v>146000</v>
          </cell>
          <cell r="F299">
            <v>664300</v>
          </cell>
          <cell r="G299">
            <v>3365300</v>
          </cell>
          <cell r="H299">
            <v>129435</v>
          </cell>
        </row>
        <row r="300">
          <cell r="A300" t="str">
            <v>LT6520</v>
          </cell>
          <cell r="B300" t="str">
            <v>- Tµu hót tõ 150m3/h ®Õn 300m3/h</v>
          </cell>
        </row>
        <row r="301">
          <cell r="A301" t="str">
            <v>LT6521</v>
          </cell>
          <cell r="B301">
            <v>1</v>
          </cell>
          <cell r="C301">
            <v>3.73</v>
          </cell>
          <cell r="D301">
            <v>2722900</v>
          </cell>
          <cell r="E301">
            <v>146000</v>
          </cell>
          <cell r="F301">
            <v>707954</v>
          </cell>
          <cell r="G301">
            <v>3576854</v>
          </cell>
          <cell r="H301">
            <v>137571</v>
          </cell>
        </row>
        <row r="302">
          <cell r="A302" t="str">
            <v>LT6522</v>
          </cell>
          <cell r="B302">
            <v>2</v>
          </cell>
          <cell r="C302">
            <v>3.91</v>
          </cell>
          <cell r="D302">
            <v>2854300</v>
          </cell>
          <cell r="E302">
            <v>146000</v>
          </cell>
          <cell r="F302">
            <v>742118</v>
          </cell>
          <cell r="G302">
            <v>3742418</v>
          </cell>
          <cell r="H302">
            <v>143939</v>
          </cell>
        </row>
        <row r="303">
          <cell r="A303" t="str">
            <v>LT6530</v>
          </cell>
          <cell r="B303" t="str">
            <v>- Tµu hót trªn 300m3/h, tµu cuèc d­íi 300m3/h</v>
          </cell>
        </row>
        <row r="304">
          <cell r="A304" t="str">
            <v>LT6531</v>
          </cell>
          <cell r="B304">
            <v>1</v>
          </cell>
          <cell r="C304">
            <v>4.37</v>
          </cell>
          <cell r="D304">
            <v>3190100</v>
          </cell>
          <cell r="E304">
            <v>146000</v>
          </cell>
          <cell r="F304">
            <v>829426</v>
          </cell>
          <cell r="G304">
            <v>4165526</v>
          </cell>
          <cell r="H304">
            <v>160213</v>
          </cell>
        </row>
        <row r="305">
          <cell r="A305" t="str">
            <v>LT6532</v>
          </cell>
          <cell r="B305">
            <v>2</v>
          </cell>
          <cell r="C305">
            <v>4.68</v>
          </cell>
          <cell r="D305">
            <v>3416400</v>
          </cell>
          <cell r="E305">
            <v>146000</v>
          </cell>
          <cell r="F305">
            <v>888264</v>
          </cell>
          <cell r="G305">
            <v>4450664</v>
          </cell>
          <cell r="H305">
            <v>171179</v>
          </cell>
        </row>
        <row r="307">
          <cell r="A307" t="str">
            <v>LT6600</v>
          </cell>
          <cell r="B307" t="str">
            <v>6. M¸y 4, kü thuËt viªn cuèc 3</v>
          </cell>
        </row>
        <row r="308">
          <cell r="A308" t="str">
            <v>LT6630</v>
          </cell>
          <cell r="B308" t="str">
            <v>- Tµu hót trªn 300m3/h, tµu cuèc d­íi 300m3/h</v>
          </cell>
        </row>
        <row r="309">
          <cell r="A309" t="str">
            <v>LT6631</v>
          </cell>
          <cell r="B309">
            <v>1</v>
          </cell>
          <cell r="C309">
            <v>4.16</v>
          </cell>
          <cell r="D309">
            <v>3036800</v>
          </cell>
          <cell r="E309">
            <v>146000</v>
          </cell>
          <cell r="F309">
            <v>789568</v>
          </cell>
          <cell r="G309">
            <v>3972368</v>
          </cell>
          <cell r="H309">
            <v>152783</v>
          </cell>
        </row>
        <row r="310">
          <cell r="A310" t="str">
            <v>LT6632</v>
          </cell>
          <cell r="B310">
            <v>2</v>
          </cell>
          <cell r="C310">
            <v>4.36</v>
          </cell>
          <cell r="D310">
            <v>3182800.0000000005</v>
          </cell>
          <cell r="E310">
            <v>146000</v>
          </cell>
          <cell r="F310">
            <v>827528</v>
          </cell>
          <cell r="G310">
            <v>4156328.0000000005</v>
          </cell>
          <cell r="H310">
            <v>159859</v>
          </cell>
        </row>
        <row r="312">
          <cell r="A312" t="str">
            <v>LT6700</v>
          </cell>
          <cell r="B312" t="str">
            <v>7. Thî m¸y, ®iÖn, ®iÖn b¸o</v>
          </cell>
        </row>
        <row r="313">
          <cell r="A313" t="str">
            <v>LT6701</v>
          </cell>
          <cell r="B313">
            <v>1</v>
          </cell>
          <cell r="C313">
            <v>2.05</v>
          </cell>
          <cell r="D313">
            <v>1496499.9999999998</v>
          </cell>
          <cell r="E313">
            <v>146000</v>
          </cell>
          <cell r="F313">
            <v>389090</v>
          </cell>
          <cell r="G313">
            <v>2031589.9999999998</v>
          </cell>
          <cell r="H313">
            <v>78138</v>
          </cell>
        </row>
        <row r="314">
          <cell r="A314" t="str">
            <v>LT6702</v>
          </cell>
          <cell r="B314">
            <v>2</v>
          </cell>
          <cell r="C314">
            <v>2.35</v>
          </cell>
          <cell r="D314">
            <v>1715500</v>
          </cell>
          <cell r="E314">
            <v>146000</v>
          </cell>
          <cell r="F314">
            <v>446030</v>
          </cell>
          <cell r="G314">
            <v>2307530</v>
          </cell>
          <cell r="H314">
            <v>88751</v>
          </cell>
        </row>
        <row r="315">
          <cell r="A315" t="str">
            <v>LT6703</v>
          </cell>
          <cell r="B315">
            <v>3</v>
          </cell>
          <cell r="C315">
            <v>2.66</v>
          </cell>
          <cell r="D315">
            <v>1941800</v>
          </cell>
          <cell r="E315">
            <v>146000</v>
          </cell>
          <cell r="F315">
            <v>504868</v>
          </cell>
          <cell r="G315">
            <v>2592668</v>
          </cell>
          <cell r="H315">
            <v>99718</v>
          </cell>
        </row>
        <row r="316">
          <cell r="A316" t="str">
            <v>LT6704</v>
          </cell>
          <cell r="B316">
            <v>4</v>
          </cell>
          <cell r="C316">
            <v>2.99</v>
          </cell>
          <cell r="D316">
            <v>2182700</v>
          </cell>
          <cell r="E316">
            <v>146000</v>
          </cell>
          <cell r="F316">
            <v>567502</v>
          </cell>
          <cell r="G316">
            <v>2896202</v>
          </cell>
          <cell r="H316">
            <v>111392</v>
          </cell>
        </row>
        <row r="318">
          <cell r="A318" t="str">
            <v>LT6800</v>
          </cell>
          <cell r="B318" t="str">
            <v>8. Thuû thñ</v>
          </cell>
        </row>
        <row r="319">
          <cell r="A319" t="str">
            <v>LT6801</v>
          </cell>
          <cell r="B319">
            <v>1</v>
          </cell>
          <cell r="C319">
            <v>1.93</v>
          </cell>
          <cell r="D319">
            <v>1408900</v>
          </cell>
          <cell r="E319">
            <v>146000</v>
          </cell>
          <cell r="F319">
            <v>366314</v>
          </cell>
          <cell r="G319">
            <v>1921214</v>
          </cell>
          <cell r="H319">
            <v>73893</v>
          </cell>
        </row>
        <row r="320">
          <cell r="A320" t="str">
            <v>LT6802</v>
          </cell>
          <cell r="B320">
            <v>2</v>
          </cell>
          <cell r="C320">
            <v>2.18</v>
          </cell>
          <cell r="D320">
            <v>1591400.0000000002</v>
          </cell>
          <cell r="E320">
            <v>146000</v>
          </cell>
          <cell r="F320">
            <v>413764</v>
          </cell>
          <cell r="G320">
            <v>2151164</v>
          </cell>
          <cell r="H320">
            <v>82737</v>
          </cell>
        </row>
        <row r="321">
          <cell r="A321" t="str">
            <v>LT6803</v>
          </cell>
          <cell r="B321">
            <v>3</v>
          </cell>
          <cell r="C321">
            <v>2.51</v>
          </cell>
          <cell r="D321">
            <v>1832299.9999999998</v>
          </cell>
          <cell r="E321">
            <v>146000</v>
          </cell>
          <cell r="F321">
            <v>476398</v>
          </cell>
          <cell r="G321">
            <v>2454698</v>
          </cell>
          <cell r="H321">
            <v>94411</v>
          </cell>
        </row>
        <row r="322">
          <cell r="A322" t="str">
            <v>LT6804</v>
          </cell>
          <cell r="B322">
            <v>4</v>
          </cell>
          <cell r="C322">
            <v>2.83</v>
          </cell>
          <cell r="D322">
            <v>2065900</v>
          </cell>
          <cell r="E322">
            <v>146000</v>
          </cell>
          <cell r="F322">
            <v>537134</v>
          </cell>
          <cell r="G322">
            <v>2749034</v>
          </cell>
          <cell r="H322">
            <v>105732</v>
          </cell>
        </row>
        <row r="324">
          <cell r="A324" t="str">
            <v>LT7000</v>
          </cell>
          <cell r="B324" t="str">
            <v>Thî lÆn</v>
          </cell>
        </row>
        <row r="325">
          <cell r="A325" t="str">
            <v>LT7100</v>
          </cell>
          <cell r="B325" t="str">
            <v>Thî lÆn 2 bËc (bËc 1/2)</v>
          </cell>
        </row>
        <row r="326">
          <cell r="A326" t="str">
            <v>LT7101</v>
          </cell>
          <cell r="B326">
            <v>1</v>
          </cell>
          <cell r="C326">
            <v>4.67</v>
          </cell>
          <cell r="D326">
            <v>3409100</v>
          </cell>
          <cell r="E326">
            <v>146000</v>
          </cell>
          <cell r="F326">
            <v>886366</v>
          </cell>
          <cell r="G326">
            <v>4441466</v>
          </cell>
          <cell r="H326">
            <v>170826</v>
          </cell>
        </row>
        <row r="328">
          <cell r="A328" t="str">
            <v>LT7200</v>
          </cell>
          <cell r="B328" t="str">
            <v>Thî lÆn 4 bËc (bËc 2/4)</v>
          </cell>
        </row>
        <row r="329">
          <cell r="A329" t="str">
            <v>LT7202</v>
          </cell>
          <cell r="B329">
            <v>2</v>
          </cell>
          <cell r="C329">
            <v>3.28</v>
          </cell>
          <cell r="D329">
            <v>2394400</v>
          </cell>
          <cell r="E329">
            <v>146000</v>
          </cell>
          <cell r="F329">
            <v>622544</v>
          </cell>
          <cell r="G329">
            <v>3162944</v>
          </cell>
          <cell r="H329">
            <v>121652</v>
          </cell>
        </row>
      </sheetData>
      <sheetData sheetId="35">
        <row r="12">
          <cell r="A12" t="str">
            <v>LM1100</v>
          </cell>
          <cell r="B12" t="str">
            <v>- VËn hµnh c¸c lo¹i m¸y x©y dùng</v>
          </cell>
        </row>
        <row r="13">
          <cell r="A13" t="str">
            <v>LM1101</v>
          </cell>
          <cell r="B13">
            <v>1</v>
          </cell>
          <cell r="C13">
            <v>1.67</v>
          </cell>
          <cell r="D13">
            <v>1219100</v>
          </cell>
          <cell r="E13">
            <v>146000</v>
          </cell>
          <cell r="F13">
            <v>316966</v>
          </cell>
          <cell r="G13">
            <v>1682066</v>
          </cell>
          <cell r="H13">
            <v>64695</v>
          </cell>
        </row>
        <row r="14">
          <cell r="A14" t="str">
            <v>LM1102</v>
          </cell>
          <cell r="B14">
            <v>2</v>
          </cell>
          <cell r="C14">
            <v>1.96</v>
          </cell>
          <cell r="D14">
            <v>1430800</v>
          </cell>
          <cell r="E14">
            <v>146000</v>
          </cell>
          <cell r="F14">
            <v>372008</v>
          </cell>
          <cell r="G14">
            <v>1948808</v>
          </cell>
          <cell r="H14">
            <v>74954</v>
          </cell>
        </row>
        <row r="15">
          <cell r="A15" t="str">
            <v>LM1103</v>
          </cell>
          <cell r="B15">
            <v>3</v>
          </cell>
          <cell r="C15">
            <v>2.31</v>
          </cell>
          <cell r="D15">
            <v>1686300</v>
          </cell>
          <cell r="E15">
            <v>146000</v>
          </cell>
          <cell r="F15">
            <v>438438</v>
          </cell>
          <cell r="G15">
            <v>2270738</v>
          </cell>
          <cell r="H15">
            <v>87336</v>
          </cell>
        </row>
        <row r="16">
          <cell r="A16" t="str">
            <v>LM1104</v>
          </cell>
          <cell r="B16">
            <v>4</v>
          </cell>
          <cell r="C16">
            <v>2.71</v>
          </cell>
          <cell r="D16">
            <v>1978300</v>
          </cell>
          <cell r="E16">
            <v>146000</v>
          </cell>
          <cell r="F16">
            <v>514358</v>
          </cell>
          <cell r="G16">
            <v>2638658</v>
          </cell>
          <cell r="H16">
            <v>101487</v>
          </cell>
        </row>
        <row r="17">
          <cell r="A17" t="str">
            <v>LM1105</v>
          </cell>
          <cell r="B17">
            <v>5</v>
          </cell>
          <cell r="C17">
            <v>3.19</v>
          </cell>
          <cell r="D17">
            <v>2328700</v>
          </cell>
          <cell r="E17">
            <v>146000</v>
          </cell>
          <cell r="F17">
            <v>605462</v>
          </cell>
          <cell r="G17">
            <v>3080162</v>
          </cell>
          <cell r="H17">
            <v>118468</v>
          </cell>
        </row>
        <row r="18">
          <cell r="A18" t="str">
            <v>LM1106</v>
          </cell>
          <cell r="B18">
            <v>6</v>
          </cell>
          <cell r="C18">
            <v>3.74</v>
          </cell>
          <cell r="D18">
            <v>2730200</v>
          </cell>
          <cell r="E18">
            <v>146000</v>
          </cell>
          <cell r="F18">
            <v>709852</v>
          </cell>
          <cell r="G18">
            <v>3586052</v>
          </cell>
          <cell r="H18">
            <v>137925</v>
          </cell>
        </row>
        <row r="19">
          <cell r="A19" t="str">
            <v>LM1107</v>
          </cell>
          <cell r="B19">
            <v>7</v>
          </cell>
          <cell r="C19">
            <v>4.4</v>
          </cell>
          <cell r="D19">
            <v>3212000.0000000005</v>
          </cell>
          <cell r="E19">
            <v>146000</v>
          </cell>
          <cell r="F19">
            <v>835120</v>
          </cell>
          <cell r="G19">
            <v>4193120.0000000005</v>
          </cell>
          <cell r="H19">
            <v>161274</v>
          </cell>
        </row>
        <row r="21">
          <cell r="A21" t="str">
            <v>LX1000</v>
          </cell>
          <cell r="B21" t="str">
            <v>C«ng nh©n l¸i xe - B.12 (trang115)</v>
          </cell>
        </row>
        <row r="23">
          <cell r="A23" t="str">
            <v>LX1100</v>
          </cell>
          <cell r="B23" t="str">
            <v>1. Xe con, taxi, xe t¶i, xe cÈu d­íi 3,5 TÊn, xe kh¸ch d­íi 20 ghÕ</v>
          </cell>
        </row>
        <row r="24">
          <cell r="A24" t="str">
            <v>LX1101</v>
          </cell>
          <cell r="B24">
            <v>1</v>
          </cell>
          <cell r="C24">
            <v>2.18</v>
          </cell>
          <cell r="D24">
            <v>1591400.0000000002</v>
          </cell>
          <cell r="E24">
            <v>146000</v>
          </cell>
          <cell r="F24">
            <v>413764</v>
          </cell>
          <cell r="G24">
            <v>2151164</v>
          </cell>
          <cell r="H24">
            <v>82737</v>
          </cell>
        </row>
        <row r="25">
          <cell r="A25" t="str">
            <v>LX1102</v>
          </cell>
          <cell r="B25">
            <v>2</v>
          </cell>
          <cell r="C25">
            <v>2.57</v>
          </cell>
          <cell r="D25">
            <v>1876099.9999999998</v>
          </cell>
          <cell r="E25">
            <v>146000</v>
          </cell>
          <cell r="F25">
            <v>487786</v>
          </cell>
          <cell r="G25">
            <v>2509886</v>
          </cell>
          <cell r="H25">
            <v>96534</v>
          </cell>
        </row>
        <row r="26">
          <cell r="A26" t="str">
            <v>LX1103</v>
          </cell>
          <cell r="B26">
            <v>3</v>
          </cell>
          <cell r="C26">
            <v>3.05</v>
          </cell>
          <cell r="D26">
            <v>2226500</v>
          </cell>
          <cell r="E26">
            <v>146000</v>
          </cell>
          <cell r="F26">
            <v>578890</v>
          </cell>
          <cell r="G26">
            <v>2951390</v>
          </cell>
          <cell r="H26">
            <v>113515</v>
          </cell>
        </row>
        <row r="27">
          <cell r="A27" t="str">
            <v>LX1104</v>
          </cell>
          <cell r="B27">
            <v>4</v>
          </cell>
          <cell r="C27">
            <v>3.6</v>
          </cell>
          <cell r="D27">
            <v>2628000</v>
          </cell>
          <cell r="E27">
            <v>146000</v>
          </cell>
          <cell r="F27">
            <v>683280</v>
          </cell>
          <cell r="G27">
            <v>3457280</v>
          </cell>
          <cell r="H27">
            <v>132972</v>
          </cell>
        </row>
        <row r="29">
          <cell r="A29" t="str">
            <v>LX1200</v>
          </cell>
          <cell r="B29" t="str">
            <v>2. Xe t¶i, xe cÈu tõ 3,5 TÊn ®Õn d­íi 7,5 TÊn, xe kh¸ch tõ 20 ghÕ ®Õn d­íi 40 ghÕ</v>
          </cell>
        </row>
        <row r="30">
          <cell r="A30" t="str">
            <v>LX1201</v>
          </cell>
          <cell r="B30">
            <v>1</v>
          </cell>
          <cell r="C30">
            <v>2.35</v>
          </cell>
          <cell r="D30">
            <v>1715500</v>
          </cell>
          <cell r="E30">
            <v>146000</v>
          </cell>
          <cell r="F30">
            <v>446030</v>
          </cell>
          <cell r="G30">
            <v>2307530</v>
          </cell>
          <cell r="H30">
            <v>88751</v>
          </cell>
        </row>
        <row r="31">
          <cell r="A31" t="str">
            <v>LX1202</v>
          </cell>
          <cell r="B31">
            <v>2</v>
          </cell>
          <cell r="C31">
            <v>2.76</v>
          </cell>
          <cell r="D31">
            <v>2014799.9999999998</v>
          </cell>
          <cell r="E31">
            <v>146000</v>
          </cell>
          <cell r="F31">
            <v>523848</v>
          </cell>
          <cell r="G31">
            <v>2684648</v>
          </cell>
          <cell r="H31">
            <v>103256</v>
          </cell>
        </row>
        <row r="32">
          <cell r="A32" t="str">
            <v>LX1203</v>
          </cell>
          <cell r="B32">
            <v>3</v>
          </cell>
          <cell r="C32">
            <v>3.25</v>
          </cell>
          <cell r="D32">
            <v>2372500</v>
          </cell>
          <cell r="E32">
            <v>146000</v>
          </cell>
          <cell r="F32">
            <v>616850</v>
          </cell>
          <cell r="G32">
            <v>3135350</v>
          </cell>
          <cell r="H32">
            <v>120590</v>
          </cell>
        </row>
        <row r="33">
          <cell r="A33" t="str">
            <v>LX1204</v>
          </cell>
          <cell r="B33">
            <v>4</v>
          </cell>
          <cell r="C33">
            <v>3.82</v>
          </cell>
          <cell r="D33">
            <v>2788600</v>
          </cell>
          <cell r="E33">
            <v>146000</v>
          </cell>
          <cell r="F33">
            <v>725036</v>
          </cell>
          <cell r="G33">
            <v>3659636</v>
          </cell>
          <cell r="H33">
            <v>140755</v>
          </cell>
        </row>
        <row r="35">
          <cell r="A35" t="str">
            <v>LX1300</v>
          </cell>
          <cell r="B35" t="str">
            <v>3. Xe t¶i, xe cÈu tõ 7,5 TÊn ®Õn d­íi 16,5 TÊn, xe kh¸ch tõ 40 ghÕ ®Õn d­íi 60 ghÕ</v>
          </cell>
        </row>
        <row r="36">
          <cell r="A36" t="str">
            <v>LX1301</v>
          </cell>
          <cell r="B36">
            <v>1</v>
          </cell>
          <cell r="C36">
            <v>2.51</v>
          </cell>
          <cell r="D36">
            <v>1832299.9999999998</v>
          </cell>
          <cell r="E36">
            <v>146000</v>
          </cell>
          <cell r="F36">
            <v>476398</v>
          </cell>
          <cell r="G36">
            <v>2454698</v>
          </cell>
          <cell r="H36">
            <v>94411</v>
          </cell>
        </row>
        <row r="37">
          <cell r="A37" t="str">
            <v>LX1302</v>
          </cell>
          <cell r="B37">
            <v>2</v>
          </cell>
          <cell r="C37">
            <v>2.94</v>
          </cell>
          <cell r="D37">
            <v>2146200</v>
          </cell>
          <cell r="E37">
            <v>146000</v>
          </cell>
          <cell r="F37">
            <v>558012</v>
          </cell>
          <cell r="G37">
            <v>2850212</v>
          </cell>
          <cell r="H37">
            <v>109624</v>
          </cell>
        </row>
        <row r="38">
          <cell r="A38" t="str">
            <v>LX1303</v>
          </cell>
          <cell r="B38">
            <v>3</v>
          </cell>
          <cell r="C38">
            <v>3.44</v>
          </cell>
          <cell r="D38">
            <v>2511200</v>
          </cell>
          <cell r="E38">
            <v>146000</v>
          </cell>
          <cell r="F38">
            <v>652912</v>
          </cell>
          <cell r="G38">
            <v>3310112</v>
          </cell>
          <cell r="H38">
            <v>127312</v>
          </cell>
        </row>
        <row r="39">
          <cell r="A39" t="str">
            <v>LX1304</v>
          </cell>
          <cell r="B39">
            <v>4</v>
          </cell>
          <cell r="C39">
            <v>4.05</v>
          </cell>
          <cell r="D39">
            <v>2956500</v>
          </cell>
          <cell r="E39">
            <v>146000</v>
          </cell>
          <cell r="F39">
            <v>768690</v>
          </cell>
          <cell r="G39">
            <v>3871190</v>
          </cell>
          <cell r="H39">
            <v>148892</v>
          </cell>
        </row>
        <row r="41">
          <cell r="A41" t="str">
            <v>LX1400</v>
          </cell>
          <cell r="B41" t="str">
            <v>4. Xe t¶i, xe cÈu tõ 16,5 TÊn ®Õn d­íi 25 TÊn, xe kh¸ch tõ 60 ghÕ ®Õn d­íi 80 ghÕ</v>
          </cell>
        </row>
        <row r="42">
          <cell r="A42" t="str">
            <v>LX1401</v>
          </cell>
          <cell r="B42">
            <v>1</v>
          </cell>
          <cell r="C42">
            <v>2.66</v>
          </cell>
          <cell r="D42">
            <v>1941800</v>
          </cell>
          <cell r="E42">
            <v>146000</v>
          </cell>
          <cell r="F42">
            <v>504868</v>
          </cell>
          <cell r="G42">
            <v>2592668</v>
          </cell>
          <cell r="H42">
            <v>99718</v>
          </cell>
        </row>
        <row r="43">
          <cell r="A43" t="str">
            <v>LX1402</v>
          </cell>
          <cell r="B43">
            <v>2</v>
          </cell>
          <cell r="C43">
            <v>3.11</v>
          </cell>
          <cell r="D43">
            <v>2270300</v>
          </cell>
          <cell r="E43">
            <v>146000</v>
          </cell>
          <cell r="F43">
            <v>590278</v>
          </cell>
          <cell r="G43">
            <v>3006578</v>
          </cell>
          <cell r="H43">
            <v>115638</v>
          </cell>
        </row>
        <row r="44">
          <cell r="A44" t="str">
            <v>LX1403</v>
          </cell>
          <cell r="B44">
            <v>3</v>
          </cell>
          <cell r="C44">
            <v>3.64</v>
          </cell>
          <cell r="D44">
            <v>2657200</v>
          </cell>
          <cell r="E44">
            <v>146000</v>
          </cell>
          <cell r="F44">
            <v>690872</v>
          </cell>
          <cell r="G44">
            <v>3494072</v>
          </cell>
          <cell r="H44">
            <v>134387</v>
          </cell>
        </row>
        <row r="45">
          <cell r="A45" t="str">
            <v>LX1404</v>
          </cell>
          <cell r="B45">
            <v>4</v>
          </cell>
          <cell r="C45">
            <v>4.2</v>
          </cell>
          <cell r="D45">
            <v>3066000</v>
          </cell>
          <cell r="E45">
            <v>146000</v>
          </cell>
          <cell r="F45">
            <v>797160</v>
          </cell>
          <cell r="G45">
            <v>4009160</v>
          </cell>
          <cell r="H45">
            <v>154198</v>
          </cell>
        </row>
        <row r="47">
          <cell r="A47" t="str">
            <v>LX1500</v>
          </cell>
          <cell r="B47" t="str">
            <v>5. Xe t¶i, xe cÈu tõ 25 TÊn ®Õn d­íi 40 TÊn, xe kh¸ch tõ 80 ghÕ trë lªn</v>
          </cell>
        </row>
        <row r="48">
          <cell r="A48" t="str">
            <v>LX1501</v>
          </cell>
          <cell r="B48">
            <v>1</v>
          </cell>
          <cell r="C48">
            <v>2.99</v>
          </cell>
          <cell r="D48">
            <v>2182700</v>
          </cell>
          <cell r="E48">
            <v>146000</v>
          </cell>
          <cell r="F48">
            <v>567502</v>
          </cell>
          <cell r="G48">
            <v>2896202</v>
          </cell>
          <cell r="H48">
            <v>111392</v>
          </cell>
        </row>
        <row r="49">
          <cell r="A49" t="str">
            <v>LX1502</v>
          </cell>
          <cell r="B49">
            <v>2</v>
          </cell>
          <cell r="C49">
            <v>3.5</v>
          </cell>
          <cell r="D49">
            <v>2555000</v>
          </cell>
          <cell r="E49">
            <v>146000</v>
          </cell>
          <cell r="F49">
            <v>664300</v>
          </cell>
          <cell r="G49">
            <v>3365300</v>
          </cell>
          <cell r="H49">
            <v>129435</v>
          </cell>
        </row>
        <row r="50">
          <cell r="A50" t="str">
            <v>LX1503</v>
          </cell>
          <cell r="B50">
            <v>3</v>
          </cell>
          <cell r="C50">
            <v>4.11</v>
          </cell>
          <cell r="D50">
            <v>3000300.0000000005</v>
          </cell>
          <cell r="E50">
            <v>146000</v>
          </cell>
          <cell r="F50">
            <v>780078</v>
          </cell>
          <cell r="G50">
            <v>3926378.0000000005</v>
          </cell>
          <cell r="H50">
            <v>151015</v>
          </cell>
        </row>
        <row r="51">
          <cell r="A51" t="str">
            <v>LX1504</v>
          </cell>
          <cell r="B51">
            <v>4</v>
          </cell>
          <cell r="C51">
            <v>4.82</v>
          </cell>
          <cell r="D51">
            <v>3518600</v>
          </cell>
          <cell r="E51">
            <v>146000</v>
          </cell>
          <cell r="F51">
            <v>914836</v>
          </cell>
          <cell r="G51">
            <v>4579436</v>
          </cell>
          <cell r="H51">
            <v>176132</v>
          </cell>
        </row>
        <row r="53">
          <cell r="A53" t="str">
            <v>LX1600</v>
          </cell>
          <cell r="B53" t="str">
            <v>6. Xe t¶i, xe cÈu tõ 40 TÊn trë lªn </v>
          </cell>
        </row>
        <row r="54">
          <cell r="A54" t="str">
            <v>LX1601</v>
          </cell>
          <cell r="B54">
            <v>1</v>
          </cell>
          <cell r="C54">
            <v>3.2</v>
          </cell>
          <cell r="D54">
            <v>2336000</v>
          </cell>
          <cell r="E54">
            <v>146000</v>
          </cell>
          <cell r="F54">
            <v>607360</v>
          </cell>
          <cell r="G54">
            <v>3089360</v>
          </cell>
          <cell r="H54">
            <v>118822</v>
          </cell>
        </row>
        <row r="55">
          <cell r="A55" t="str">
            <v>LX1602</v>
          </cell>
          <cell r="B55">
            <v>2</v>
          </cell>
          <cell r="C55">
            <v>3.75</v>
          </cell>
          <cell r="D55">
            <v>2737500</v>
          </cell>
          <cell r="E55">
            <v>146000</v>
          </cell>
          <cell r="F55">
            <v>711750</v>
          </cell>
          <cell r="G55">
            <v>3595250</v>
          </cell>
          <cell r="H55">
            <v>138279</v>
          </cell>
        </row>
        <row r="56">
          <cell r="A56" t="str">
            <v>LX1603</v>
          </cell>
          <cell r="B56">
            <v>3</v>
          </cell>
          <cell r="C56">
            <v>4.39</v>
          </cell>
          <cell r="D56">
            <v>3204699.9999999995</v>
          </cell>
          <cell r="E56">
            <v>146000</v>
          </cell>
          <cell r="F56">
            <v>833222</v>
          </cell>
          <cell r="G56">
            <v>4183921.9999999995</v>
          </cell>
          <cell r="H56">
            <v>160920</v>
          </cell>
        </row>
        <row r="57">
          <cell r="A57" t="str">
            <v>LX1604</v>
          </cell>
          <cell r="B57">
            <v>4</v>
          </cell>
          <cell r="C57">
            <v>5.15</v>
          </cell>
          <cell r="D57">
            <v>3759500.0000000005</v>
          </cell>
          <cell r="E57">
            <v>146000</v>
          </cell>
          <cell r="F57">
            <v>977470</v>
          </cell>
          <cell r="G57">
            <v>4882970</v>
          </cell>
          <cell r="H57">
            <v>187807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u toan"/>
      <sheetName val="Phan tich vat tu"/>
      <sheetName val="Tong hop kinh phi"/>
      <sheetName val="B1. Bang chon"/>
      <sheetName val="B.2 - Tinh CPVC"/>
      <sheetName val="Gia tri vat tu"/>
      <sheetName val="B3. Bang gia den chan ctrinh"/>
      <sheetName val="Gia (KVC)"/>
      <sheetName val="Xem ti trong"/>
      <sheetName val="B4. Bang CUOCVC QD 29-2006"/>
      <sheetName val="Gia VL den HT"/>
      <sheetName val="Tong hop vat tu"/>
      <sheetName val="Chenh lech vat tu"/>
      <sheetName val="Don gia chi tiet"/>
      <sheetName val="Du thau"/>
      <sheetName val="Cong van 1751"/>
      <sheetName val="Tu van Thiet ke"/>
      <sheetName val="Tong hop DTXD CT"/>
      <sheetName val="Du toan XDCT"/>
      <sheetName val="Tong hop CPXD"/>
      <sheetName val="Tong hop CPTB"/>
      <sheetName val="Tong hop CPK"/>
      <sheetName val="Tien do thi cong"/>
      <sheetName val="Bia du toan"/>
      <sheetName val="Tro giup"/>
      <sheetName val="Thuyet Minh"/>
      <sheetName val="Config"/>
    </sheetNames>
    <sheetDataSet>
      <sheetData sheetId="4">
        <row r="16">
          <cell r="Y16">
            <v>0</v>
          </cell>
          <cell r="Z16">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u toan"/>
      <sheetName val="KQ_KTSh_Dutoan"/>
      <sheetName val="Phan tich vat tu"/>
      <sheetName val="Tong hop vat tu"/>
      <sheetName val="Chi phi van chuyen"/>
      <sheetName val="Gia tri vat tu"/>
      <sheetName val="khaosat"/>
      <sheetName val="nckhaosat"/>
      <sheetName val="Tong hop kinh phi"/>
      <sheetName val="Don gia ca may"/>
      <sheetName val="Tinh CP May"/>
      <sheetName val="Bu gia ca may"/>
      <sheetName val="Chenh lech vat tu"/>
      <sheetName val="Don gia chi tiet"/>
      <sheetName val="Du thau"/>
      <sheetName val="TMDT"/>
      <sheetName val="Bia du toan"/>
      <sheetName val="Config"/>
      <sheetName val="DL_CM"/>
      <sheetName val="DL_VC"/>
      <sheetName val="Hs_TMDT"/>
      <sheetName val="THKP"/>
      <sheetName val="CPXD"/>
      <sheetName val="Sheet3"/>
      <sheetName val="dinhmuc he so"/>
      <sheetName val="Sheet1"/>
      <sheetName val="TM IN"/>
      <sheetName val="Sheet2"/>
      <sheetName val="dpp"/>
      <sheetName val="TBi"/>
      <sheetName val="CP HMC"/>
      <sheetName val="GXD"/>
      <sheetName val="nội suy"/>
    </sheetNames>
    <sheetDataSet>
      <sheetData sheetId="15">
        <row r="9">
          <cell r="D9">
            <v>1045520000</v>
          </cell>
        </row>
        <row r="10">
          <cell r="D10">
            <v>3764180000</v>
          </cell>
        </row>
        <row r="24">
          <cell r="D24">
            <v>15500000</v>
          </cell>
        </row>
        <row r="32">
          <cell r="D32">
            <v>5482520000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amtra_Dutoan"/>
      <sheetName val="Thamtra_Phantichvattu"/>
      <sheetName val="Thamtra_GTVT"/>
      <sheetName val="Thamtra_VL"/>
      <sheetName val="Thamtra_NC"/>
      <sheetName val="Thamtra_MTC"/>
      <sheetName val="Dutoan_NhomNC"/>
      <sheetName val="Du toan"/>
      <sheetName val="Phan tich vat tu"/>
      <sheetName val="Gia tri vat tu"/>
      <sheetName val="GiaVua"/>
      <sheetName val="THKP"/>
      <sheetName val="Tong hop kinh phi"/>
      <sheetName val="DGCT_Thugon"/>
      <sheetName val="Don gia chi tiet"/>
      <sheetName val="Du thau"/>
      <sheetName val="DT Goi thau XD"/>
      <sheetName val="CP HMC"/>
      <sheetName val="THKP_KS"/>
      <sheetName val="Tong hop kinh phi_KS"/>
      <sheetName val="THKP_DVCI"/>
      <sheetName val="Tong hop kinh phi  _DVCI"/>
      <sheetName val="DP2C"/>
      <sheetName val="Tong hop DT XDCT"/>
      <sheetName val="DP2B"/>
      <sheetName val="TH_CPXD"/>
      <sheetName val="TH_CPTB"/>
      <sheetName val="DP2C_TB"/>
      <sheetName val="DT Goi thau TB"/>
      <sheetName val="SBTMDT"/>
      <sheetName val="DP2A"/>
      <sheetName val="TMDT"/>
      <sheetName val="DakLak_DVCI"/>
      <sheetName val="DakLak_Tong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588"/>
      <sheetName val="CuocDM"/>
      <sheetName val="CPTC_588"/>
      <sheetName val="CTCM_VC"/>
      <sheetName val="BuGCM_VC"/>
      <sheetName val="BuNLTL_VC"/>
      <sheetName val="NC_TC"/>
      <sheetName val="PT_BVC_CV"/>
      <sheetName val="LuongCNXD_Tong"/>
      <sheetName val="LuongCN_XD"/>
      <sheetName val="LuongCN_XD1"/>
      <sheetName val="LuongCN_XD2"/>
      <sheetName val="Phan tich ca may"/>
      <sheetName val="LuongCNLM_Tong"/>
      <sheetName val="LuongCN_LaiMay1"/>
      <sheetName val="LuongCN_LaiMay2"/>
      <sheetName val="LuongCN_LaiMay"/>
      <sheetName val="Chiet tinh don gia may"/>
      <sheetName val="Bu gia may"/>
      <sheetName val="Bu NL_TL"/>
      <sheetName val="Dau vao ca may"/>
      <sheetName val="Phan tich bu ca may"/>
      <sheetName val="Setting"/>
      <sheetName val="LuongCN"/>
      <sheetName val="Config"/>
    </sheetNames>
    <sheetDataSet>
      <sheetData sheetId="72">
        <row r="158">
          <cell r="E158">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Đ"/>
      <sheetName val="Sheet1"/>
      <sheetName val="DPMOI"/>
      <sheetName val="SGT"/>
      <sheetName val="SGT2"/>
      <sheetName val="dp2014"/>
      <sheetName val="dp2015"/>
      <sheetName val="DPPTG"/>
    </sheetNames>
    <sheetDataSet>
      <sheetData sheetId="1">
        <row r="11">
          <cell r="I11" t="str">
            <v>CÔNG TRÌNH XÂY DỰNG DÂN DỤNG</v>
          </cell>
        </row>
        <row r="12">
          <cell r="I12" t="str">
            <v>Công trình nhà ở</v>
          </cell>
        </row>
        <row r="13">
          <cell r="I13" t="str">
            <v>Công trình giáo dục</v>
          </cell>
        </row>
        <row r="14">
          <cell r="I14" t="str">
            <v>Công trình văn hóa</v>
          </cell>
        </row>
        <row r="15">
          <cell r="I15" t="str">
            <v>Trụ sở cơ quan, văn phòng</v>
          </cell>
        </row>
        <row r="16">
          <cell r="I16" t="str">
            <v>Công trình y tế</v>
          </cell>
        </row>
        <row r="17">
          <cell r="I17" t="str">
            <v>Công trình khách sạn</v>
          </cell>
        </row>
        <row r="18">
          <cell r="I18" t="str">
            <v>Công trình tháp thu phát sóng PT, TH</v>
          </cell>
        </row>
        <row r="19">
          <cell r="I19" t="str">
            <v>CÔNG TRÌNH CÔNG NGHIỆP</v>
          </cell>
        </row>
        <row r="20">
          <cell r="I20" t="str">
            <v>Công trình năng lượng</v>
          </cell>
        </row>
        <row r="21">
          <cell r="I21" t="str">
            <v>Đường dây</v>
          </cell>
        </row>
        <row r="22">
          <cell r="I22" t="str">
            <v>Trạm biến áp</v>
          </cell>
        </row>
        <row r="23">
          <cell r="I23" t="str">
            <v>Công trình công nghiệp dệt, may</v>
          </cell>
        </row>
        <row r="24">
          <cell r="I24" t="str">
            <v>Công trình công nghiệp vật liệu xây dựng</v>
          </cell>
        </row>
        <row r="25">
          <cell r="I25" t="str">
            <v>CÔNG TRÌNH GIAO THÔNG</v>
          </cell>
        </row>
        <row r="26">
          <cell r="I26" t="str">
            <v>Công trình đường bộ</v>
          </cell>
        </row>
        <row r="27">
          <cell r="I27" t="str">
            <v>Đường nhựa asphan; đường thấm nhập nhựa, đường láng nhựa</v>
          </cell>
        </row>
        <row r="28">
          <cell r="I28" t="str">
            <v>Đường bê tông xi măng</v>
          </cell>
        </row>
        <row r="29">
          <cell r="I29" t="str">
            <v>Công trình cầu, hầm</v>
          </cell>
        </row>
        <row r="30">
          <cell r="I30" t="str">
            <v>Cầu; cống bê tông xi măng</v>
          </cell>
        </row>
        <row r="31">
          <cell r="I31" t="str">
            <v>CÔNG TRÌNH THUỶ LỢI</v>
          </cell>
        </row>
        <row r="32">
          <cell r="I32" t="str">
            <v>Đập bê tông</v>
          </cell>
        </row>
        <row r="33">
          <cell r="I33" t="str">
            <v>Kênh bê tông xi măng</v>
          </cell>
        </row>
        <row r="34">
          <cell r="I34" t="str">
            <v>Kè bê tông cốt thép</v>
          </cell>
        </row>
        <row r="35">
          <cell r="I35" t="str">
            <v>Tường chắn bêtông cốt thép</v>
          </cell>
        </row>
        <row r="36">
          <cell r="I36" t="str">
            <v>CÔNG TRÌNH HẠ TẦNG KỸ THUẬT</v>
          </cell>
        </row>
        <row r="37">
          <cell r="I37" t="str">
            <v>Công trình mạng cấp nước</v>
          </cell>
        </row>
        <row r="38">
          <cell r="I38" t="str">
            <v>Công trình mạng thoát nước</v>
          </cell>
        </row>
        <row r="39">
          <cell r="I39" t="str">
            <v>Công trình xử lý nước thải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oleObject" Target="../embeddings/oleObject_8_1.bin" /><Relationship Id="rId4" Type="http://schemas.openxmlformats.org/officeDocument/2006/relationships/oleObject" Target="../embeddings/oleObject_8_2.bin" /><Relationship Id="rId5" Type="http://schemas.openxmlformats.org/officeDocument/2006/relationships/vmlDrawing" Target="../drawings/vmlDrawing2.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P48"/>
  <sheetViews>
    <sheetView zoomScalePageLayoutView="0" workbookViewId="0" topLeftCell="A16">
      <selection activeCell="D31" sqref="D31:H31"/>
    </sheetView>
  </sheetViews>
  <sheetFormatPr defaultColWidth="9.140625" defaultRowHeight="12.75"/>
  <cols>
    <col min="1" max="1" width="7.57421875" style="79" customWidth="1"/>
    <col min="2" max="2" width="48.57421875" style="3" customWidth="1"/>
    <col min="3" max="3" width="9.140625" style="3" customWidth="1"/>
    <col min="4" max="4" width="36.57421875" style="79" bestFit="1" customWidth="1"/>
    <col min="5" max="5" width="17.00390625" style="79" bestFit="1" customWidth="1"/>
    <col min="6" max="6" width="12.140625" style="79" bestFit="1" customWidth="1"/>
    <col min="7" max="7" width="20.421875" style="79" hidden="1" customWidth="1"/>
    <col min="8" max="8" width="15.57421875" style="62" bestFit="1" customWidth="1"/>
    <col min="9" max="9" width="6.421875" style="2" hidden="1" customWidth="1"/>
    <col min="10" max="10" width="61.421875" style="2" hidden="1" customWidth="1"/>
    <col min="11" max="11" width="2.140625" style="2" hidden="1" customWidth="1"/>
    <col min="12" max="12" width="18.140625" style="2" bestFit="1" customWidth="1"/>
    <col min="13" max="13" width="15.421875" style="2" bestFit="1" customWidth="1"/>
    <col min="14" max="14" width="13.57421875" style="3" bestFit="1" customWidth="1"/>
    <col min="15" max="15" width="15.421875" style="3" bestFit="1" customWidth="1"/>
    <col min="16" max="16" width="11.421875" style="3" customWidth="1"/>
    <col min="17" max="16384" width="9.140625" style="3" customWidth="1"/>
  </cols>
  <sheetData>
    <row r="1" spans="1:9" ht="23.25">
      <c r="A1" s="629" t="s">
        <v>0</v>
      </c>
      <c r="B1" s="629"/>
      <c r="C1" s="629"/>
      <c r="D1" s="629"/>
      <c r="E1" s="629"/>
      <c r="F1" s="629"/>
      <c r="G1" s="629"/>
      <c r="H1" s="629"/>
      <c r="I1" s="1"/>
    </row>
    <row r="2" spans="1:9" ht="21" customHeight="1">
      <c r="A2" s="630" t="str">
        <f>CPXD!A2</f>
        <v>COÂNG TRÌNH : CHÔÏ MUÕI NEÙ, PHAN THIEÁT</v>
      </c>
      <c r="B2" s="630"/>
      <c r="C2" s="630"/>
      <c r="D2" s="630"/>
      <c r="E2" s="630"/>
      <c r="F2" s="630"/>
      <c r="G2" s="630"/>
      <c r="H2" s="630"/>
      <c r="I2" s="4"/>
    </row>
    <row r="3" spans="1:9" ht="25.5" customHeight="1">
      <c r="A3" s="631" t="str">
        <f>CPXD!A3</f>
        <v>HAÏNG MUÏC:  NHAØ BAÛO VEÄ, BAÛI XE, KHO HAØNG + NHAØ QUAÛN LYÙ + MAÙY PHAÙT ÑIEÄN + NHAØ LOÀNG CHÍNH + NHAØ LOÀNG PHUÏ + KHU GOM RAÙC</v>
      </c>
      <c r="B3" s="631"/>
      <c r="C3" s="631"/>
      <c r="D3" s="631"/>
      <c r="E3" s="631"/>
      <c r="F3" s="631"/>
      <c r="G3" s="631"/>
      <c r="H3" s="631"/>
      <c r="I3" s="4"/>
    </row>
    <row r="4" spans="1:13" s="10" customFormat="1" ht="29.25" customHeight="1">
      <c r="A4" s="5" t="s">
        <v>1</v>
      </c>
      <c r="B4" s="5" t="s">
        <v>2</v>
      </c>
      <c r="C4" s="5" t="s">
        <v>3</v>
      </c>
      <c r="D4" s="5" t="s">
        <v>4</v>
      </c>
      <c r="E4" s="5" t="s">
        <v>72</v>
      </c>
      <c r="F4" s="5" t="s">
        <v>5</v>
      </c>
      <c r="G4" s="5" t="s">
        <v>6</v>
      </c>
      <c r="H4" s="5" t="s">
        <v>71</v>
      </c>
      <c r="I4" s="6" t="s">
        <v>7</v>
      </c>
      <c r="J4" s="7" t="s">
        <v>8</v>
      </c>
      <c r="K4" s="8"/>
      <c r="L4" s="9"/>
      <c r="M4" s="9"/>
    </row>
    <row r="5" spans="1:15" s="21" customFormat="1" ht="16.5" customHeight="1">
      <c r="A5" s="11" t="s">
        <v>9</v>
      </c>
      <c r="B5" s="12" t="s">
        <v>10</v>
      </c>
      <c r="C5" s="13" t="s">
        <v>11</v>
      </c>
      <c r="D5" s="14" t="s">
        <v>66</v>
      </c>
      <c r="E5" s="15">
        <f>H5-F5</f>
        <v>0</v>
      </c>
      <c r="F5" s="15">
        <f>H5*10%</f>
        <v>0</v>
      </c>
      <c r="G5" s="15"/>
      <c r="H5" s="15">
        <f>CPXD!F18</f>
        <v>0</v>
      </c>
      <c r="I5" s="16"/>
      <c r="J5" s="7"/>
      <c r="K5" s="17"/>
      <c r="L5" s="18"/>
      <c r="M5" s="19"/>
      <c r="N5" s="20"/>
      <c r="O5" s="20">
        <f>N5+H5</f>
        <v>0</v>
      </c>
    </row>
    <row r="6" spans="1:15" s="21" customFormat="1" ht="16.5" customHeight="1">
      <c r="A6" s="11" t="s">
        <v>12</v>
      </c>
      <c r="B6" s="12" t="s">
        <v>13</v>
      </c>
      <c r="C6" s="13" t="s">
        <v>14</v>
      </c>
      <c r="D6" s="97"/>
      <c r="E6" s="15"/>
      <c r="F6" s="15"/>
      <c r="G6" s="15"/>
      <c r="H6" s="15"/>
      <c r="I6" s="16"/>
      <c r="J6" s="7"/>
      <c r="K6" s="17"/>
      <c r="L6" s="18"/>
      <c r="M6" s="19"/>
      <c r="N6" s="20"/>
      <c r="O6" s="20"/>
    </row>
    <row r="7" spans="1:14" s="32" customFormat="1" ht="16.5" customHeight="1">
      <c r="A7" s="13" t="s">
        <v>15</v>
      </c>
      <c r="B7" s="22" t="s">
        <v>16</v>
      </c>
      <c r="C7" s="13" t="s">
        <v>17</v>
      </c>
      <c r="D7" s="23" t="str">
        <f>"(Gxd +Gtb)/1,1x "&amp;I7&amp;"% *"&amp;J7</f>
        <v>(Gxd +Gtb)/1,1x 2,524% *1</v>
      </c>
      <c r="E7" s="24">
        <f>($E$5+$E$6)*I7%*J7</f>
        <v>0</v>
      </c>
      <c r="F7" s="15">
        <f>E7*10%</f>
        <v>0</v>
      </c>
      <c r="G7" s="25"/>
      <c r="H7" s="15">
        <f>ROUND(F7+E7,0)</f>
        <v>0</v>
      </c>
      <c r="I7" s="26">
        <v>2.524</v>
      </c>
      <c r="J7" s="27">
        <v>1</v>
      </c>
      <c r="K7" s="28"/>
      <c r="L7" s="29"/>
      <c r="M7" s="30"/>
      <c r="N7" s="31"/>
    </row>
    <row r="8" spans="1:13" s="32" customFormat="1" ht="18">
      <c r="A8" s="13" t="s">
        <v>18</v>
      </c>
      <c r="B8" s="22" t="s">
        <v>19</v>
      </c>
      <c r="C8" s="13" t="s">
        <v>20</v>
      </c>
      <c r="D8" s="23" t="s">
        <v>21</v>
      </c>
      <c r="E8" s="24">
        <f>SUM(E9:E15)</f>
        <v>14909090.909090908</v>
      </c>
      <c r="F8" s="24">
        <f>SUM(F9:G15)</f>
        <v>1490909.0909090908</v>
      </c>
      <c r="G8" s="25"/>
      <c r="H8" s="24">
        <f>SUM(H9:H15)</f>
        <v>16400000</v>
      </c>
      <c r="I8" s="26"/>
      <c r="J8" s="33"/>
      <c r="K8" s="28"/>
      <c r="L8" s="29"/>
      <c r="M8" s="30"/>
    </row>
    <row r="9" spans="1:13" s="32" customFormat="1" ht="18">
      <c r="A9" s="23">
        <v>1</v>
      </c>
      <c r="B9" s="34" t="s">
        <v>22</v>
      </c>
      <c r="C9" s="23" t="s">
        <v>23</v>
      </c>
      <c r="D9" s="23" t="str">
        <f>"(Gxd +Gtb)/1,1x "&amp;I9&amp;"% "&amp;"*1,1"</f>
        <v>(Gxd +Gtb)/1,1x 3,6% *1,1</v>
      </c>
      <c r="E9" s="35">
        <f>IF(($E$5+$E$6)*I9%&gt;10000000,($E$5+$E$6)*I9%,10000000)</f>
        <v>10000000</v>
      </c>
      <c r="F9" s="35">
        <f aca="true" t="shared" si="0" ref="F9:F15">E9*10%</f>
        <v>1000000</v>
      </c>
      <c r="G9" s="36"/>
      <c r="H9" s="37">
        <f aca="true" t="shared" si="1" ref="H9:H15">E9+F9</f>
        <v>11000000</v>
      </c>
      <c r="I9" s="38">
        <v>3.6</v>
      </c>
      <c r="J9" s="33"/>
      <c r="K9" s="28"/>
      <c r="L9" s="29"/>
      <c r="M9" s="29"/>
    </row>
    <row r="10" spans="1:14" s="32" customFormat="1" ht="18">
      <c r="A10" s="23">
        <v>2</v>
      </c>
      <c r="B10" s="34" t="s">
        <v>24</v>
      </c>
      <c r="C10" s="23" t="s">
        <v>25</v>
      </c>
      <c r="D10" s="23" t="str">
        <f>"Gxd/1,1 x "&amp;I10&amp;"% *1,1"</f>
        <v>Gxd/1,1 x 0,206% *1,1</v>
      </c>
      <c r="E10" s="35">
        <f>IF(($E$5)*I10%*J10&gt;2000000,($E$5)*I10%*J10,2000000)</f>
        <v>2000000</v>
      </c>
      <c r="F10" s="35">
        <f t="shared" si="0"/>
        <v>200000</v>
      </c>
      <c r="G10" s="36"/>
      <c r="H10" s="37">
        <f t="shared" si="1"/>
        <v>2200000</v>
      </c>
      <c r="I10" s="38">
        <v>0.206</v>
      </c>
      <c r="J10" s="33">
        <v>1</v>
      </c>
      <c r="K10" s="28"/>
      <c r="L10" s="29"/>
      <c r="M10" s="30"/>
      <c r="N10" s="39"/>
    </row>
    <row r="11" spans="1:13" s="32" customFormat="1" ht="18">
      <c r="A11" s="23">
        <v>3</v>
      </c>
      <c r="B11" s="34" t="s">
        <v>26</v>
      </c>
      <c r="C11" s="23" t="s">
        <v>27</v>
      </c>
      <c r="D11" s="23" t="str">
        <f>"Gxd/1,1 x "&amp;I11&amp;"%*1,1"</f>
        <v>Gxd/1,1 x 0,2%*1,1</v>
      </c>
      <c r="E11" s="35">
        <f>IF(($E$5)*I11%*J11&gt;2000000,($E$5)*I11%*J11,2000000)</f>
        <v>2000000</v>
      </c>
      <c r="F11" s="35">
        <f t="shared" si="0"/>
        <v>200000</v>
      </c>
      <c r="G11" s="36"/>
      <c r="H11" s="37">
        <f t="shared" si="1"/>
        <v>2200000</v>
      </c>
      <c r="I11" s="38">
        <v>0.2</v>
      </c>
      <c r="J11" s="33">
        <v>1</v>
      </c>
      <c r="K11" s="28"/>
      <c r="L11" s="29"/>
      <c r="M11" s="30"/>
    </row>
    <row r="12" spans="1:14" s="32" customFormat="1" ht="18">
      <c r="A12" s="23">
        <v>4</v>
      </c>
      <c r="B12" s="34" t="s">
        <v>28</v>
      </c>
      <c r="C12" s="23" t="s">
        <v>29</v>
      </c>
      <c r="D12" s="23" t="str">
        <f>"Gxd/1,1 x "&amp;I12&amp;"% *1,1"</f>
        <v>Gxd/1,1 x 2,628% *1,1</v>
      </c>
      <c r="E12" s="35">
        <f>+$E$5*I12%*J12</f>
        <v>0</v>
      </c>
      <c r="F12" s="35">
        <f t="shared" si="0"/>
        <v>0</v>
      </c>
      <c r="G12" s="36"/>
      <c r="H12" s="37">
        <f t="shared" si="1"/>
        <v>0</v>
      </c>
      <c r="I12" s="38">
        <v>2.628</v>
      </c>
      <c r="J12" s="33">
        <v>1</v>
      </c>
      <c r="K12" s="28"/>
      <c r="L12" s="29"/>
      <c r="M12" s="30"/>
      <c r="N12" s="40"/>
    </row>
    <row r="13" spans="1:14" s="32" customFormat="1" ht="18">
      <c r="A13" s="23">
        <v>5</v>
      </c>
      <c r="B13" s="34" t="s">
        <v>75</v>
      </c>
      <c r="C13" s="23" t="s">
        <v>30</v>
      </c>
      <c r="D13" s="23" t="str">
        <f>"Gxd/1,1 x "&amp;I13&amp;"%*1,1"</f>
        <v>Gxd/1,1 x 0,337%*1,1</v>
      </c>
      <c r="E13" s="35">
        <f>($E$5)*I13%</f>
        <v>0</v>
      </c>
      <c r="F13" s="35">
        <f t="shared" si="0"/>
        <v>0</v>
      </c>
      <c r="G13" s="36"/>
      <c r="H13" s="37">
        <f t="shared" si="1"/>
        <v>0</v>
      </c>
      <c r="I13" s="38">
        <v>0.337</v>
      </c>
      <c r="J13" s="33"/>
      <c r="K13" s="28"/>
      <c r="L13" s="29"/>
      <c r="M13" s="30"/>
      <c r="N13" s="39"/>
    </row>
    <row r="14" spans="1:14" s="32" customFormat="1" ht="18">
      <c r="A14" s="23">
        <v>6</v>
      </c>
      <c r="B14" s="34" t="s">
        <v>67</v>
      </c>
      <c r="C14" s="23" t="s">
        <v>31</v>
      </c>
      <c r="D14" s="14" t="s">
        <v>62</v>
      </c>
      <c r="E14" s="35">
        <f>H14/1.1</f>
        <v>909090.9090909091</v>
      </c>
      <c r="F14" s="35">
        <f>H14-E14</f>
        <v>90909.09090909094</v>
      </c>
      <c r="G14" s="36"/>
      <c r="H14" s="37">
        <f>1000000</f>
        <v>1000000</v>
      </c>
      <c r="I14" s="38"/>
      <c r="J14" s="33"/>
      <c r="K14" s="28"/>
      <c r="L14" s="29"/>
      <c r="M14" s="29"/>
      <c r="N14" s="39"/>
    </row>
    <row r="15" spans="1:13" s="32" customFormat="1" ht="18">
      <c r="A15" s="23">
        <v>7</v>
      </c>
      <c r="B15" s="34" t="s">
        <v>32</v>
      </c>
      <c r="C15" s="23" t="s">
        <v>33</v>
      </c>
      <c r="D15" s="41" t="s">
        <v>34</v>
      </c>
      <c r="E15" s="35">
        <f>+$E$12*I15</f>
        <v>0</v>
      </c>
      <c r="F15" s="35">
        <f t="shared" si="0"/>
        <v>0</v>
      </c>
      <c r="G15" s="36"/>
      <c r="H15" s="42">
        <f t="shared" si="1"/>
        <v>0</v>
      </c>
      <c r="I15" s="38">
        <v>0.35</v>
      </c>
      <c r="J15" s="33"/>
      <c r="K15" s="28"/>
      <c r="L15" s="29"/>
      <c r="M15" s="30"/>
    </row>
    <row r="16" spans="1:13" s="32" customFormat="1" ht="18">
      <c r="A16" s="13" t="s">
        <v>35</v>
      </c>
      <c r="B16" s="22" t="s">
        <v>36</v>
      </c>
      <c r="C16" s="13" t="s">
        <v>37</v>
      </c>
      <c r="D16" s="13" t="s">
        <v>76</v>
      </c>
      <c r="E16" s="24">
        <f>SUM(E17:E20)</f>
        <v>685955.331371271</v>
      </c>
      <c r="F16" s="24">
        <f>SUM(F17:F20)</f>
        <v>12076.803808613913</v>
      </c>
      <c r="G16" s="25"/>
      <c r="H16" s="24">
        <f>SUM(H17:H21)</f>
        <v>698032.135179885</v>
      </c>
      <c r="I16" s="26"/>
      <c r="J16" s="33"/>
      <c r="K16" s="28"/>
      <c r="L16" s="29"/>
      <c r="M16" s="30"/>
    </row>
    <row r="17" spans="1:13" s="32" customFormat="1" ht="18">
      <c r="A17" s="23">
        <v>1</v>
      </c>
      <c r="B17" s="34" t="s">
        <v>38</v>
      </c>
      <c r="C17" s="23" t="s">
        <v>39</v>
      </c>
      <c r="D17" s="23" t="str">
        <f>"(Gxd +Gtb)/1,1x "&amp;I17&amp;"% "&amp;J17</f>
        <v>(Gxd +Gtb)/1,1x 0,01% </v>
      </c>
      <c r="E17" s="35">
        <v>500000</v>
      </c>
      <c r="F17" s="35"/>
      <c r="G17" s="36"/>
      <c r="H17" s="42">
        <f>E17+F17</f>
        <v>500000</v>
      </c>
      <c r="I17" s="38">
        <v>0.01</v>
      </c>
      <c r="J17" s="33"/>
      <c r="K17" s="28"/>
      <c r="L17" s="29"/>
      <c r="M17" s="30"/>
    </row>
    <row r="18" spans="1:13" s="32" customFormat="1" ht="18">
      <c r="A18" s="23">
        <v>2</v>
      </c>
      <c r="B18" s="34" t="s">
        <v>40</v>
      </c>
      <c r="C18" s="23" t="s">
        <v>41</v>
      </c>
      <c r="D18" s="23" t="s">
        <v>60</v>
      </c>
      <c r="E18" s="35">
        <f>$E$5*I18%</f>
        <v>0</v>
      </c>
      <c r="F18" s="35">
        <f>E18*10%</f>
        <v>0</v>
      </c>
      <c r="G18" s="36"/>
      <c r="H18" s="42">
        <f>E18+F18</f>
        <v>0</v>
      </c>
      <c r="I18" s="38">
        <v>0.5</v>
      </c>
      <c r="J18" s="33"/>
      <c r="K18" s="28"/>
      <c r="L18" s="29"/>
      <c r="M18" s="30"/>
    </row>
    <row r="19" spans="1:13" s="32" customFormat="1" ht="18">
      <c r="A19" s="23">
        <v>3</v>
      </c>
      <c r="B19" s="34" t="s">
        <v>42</v>
      </c>
      <c r="C19" s="23" t="s">
        <v>43</v>
      </c>
      <c r="D19" s="23" t="s">
        <v>73</v>
      </c>
      <c r="E19" s="35">
        <f>$E$23*I19%</f>
        <v>65187.29328513191</v>
      </c>
      <c r="F19" s="35"/>
      <c r="G19" s="36"/>
      <c r="H19" s="42">
        <f>E19+F19</f>
        <v>65187.29328513191</v>
      </c>
      <c r="I19" s="38">
        <v>0.38</v>
      </c>
      <c r="J19" s="33"/>
      <c r="K19" s="28"/>
      <c r="L19" s="29"/>
      <c r="M19" s="30"/>
    </row>
    <row r="20" spans="1:13" s="32" customFormat="1" ht="18">
      <c r="A20" s="23">
        <v>4</v>
      </c>
      <c r="B20" s="34" t="s">
        <v>44</v>
      </c>
      <c r="C20" s="23" t="s">
        <v>45</v>
      </c>
      <c r="D20" s="23" t="s">
        <v>74</v>
      </c>
      <c r="E20" s="35">
        <f>$E$23*I20%*1.1</f>
        <v>120768.03808613913</v>
      </c>
      <c r="F20" s="35">
        <f>E20*10%</f>
        <v>12076.803808613913</v>
      </c>
      <c r="G20" s="36"/>
      <c r="H20" s="42">
        <f>E20+F20</f>
        <v>132844.84189475304</v>
      </c>
      <c r="I20" s="38">
        <v>0.64</v>
      </c>
      <c r="J20" s="33"/>
      <c r="K20" s="28"/>
      <c r="L20" s="29"/>
      <c r="M20" s="30"/>
    </row>
    <row r="21" spans="1:13" s="32" customFormat="1" ht="18" hidden="1">
      <c r="A21" s="13" t="s">
        <v>46</v>
      </c>
      <c r="B21" s="22" t="s">
        <v>63</v>
      </c>
      <c r="C21" s="13" t="s">
        <v>64</v>
      </c>
      <c r="D21" s="13" t="s">
        <v>62</v>
      </c>
      <c r="E21" s="24"/>
      <c r="F21" s="24"/>
      <c r="G21" s="25"/>
      <c r="H21" s="43"/>
      <c r="I21" s="26"/>
      <c r="J21" s="33"/>
      <c r="K21" s="28"/>
      <c r="L21" s="29"/>
      <c r="M21" s="30"/>
    </row>
    <row r="22" spans="1:13" s="32" customFormat="1" ht="18">
      <c r="A22" s="13" t="s">
        <v>46</v>
      </c>
      <c r="B22" s="22" t="s">
        <v>47</v>
      </c>
      <c r="C22" s="13" t="s">
        <v>48</v>
      </c>
      <c r="D22" s="13" t="s">
        <v>68</v>
      </c>
      <c r="E22" s="43">
        <f>(SUM(E5:E8)+E16)*$I$22%</f>
        <v>1559504.624046218</v>
      </c>
      <c r="F22" s="43">
        <f>(SUM(F5:F8)+F16)*$I$22%</f>
        <v>150298.58947177048</v>
      </c>
      <c r="G22" s="25"/>
      <c r="H22" s="43">
        <f>(SUM(H5:H8)+H16)*$I$22%</f>
        <v>1709803.2135179886</v>
      </c>
      <c r="I22" s="26">
        <v>10</v>
      </c>
      <c r="J22" s="26"/>
      <c r="K22" s="30"/>
      <c r="L22" s="29"/>
      <c r="M22" s="30"/>
    </row>
    <row r="23" spans="1:13" s="32" customFormat="1" ht="18">
      <c r="A23" s="44"/>
      <c r="B23" s="44" t="s">
        <v>49</v>
      </c>
      <c r="C23" s="44" t="s">
        <v>50</v>
      </c>
      <c r="D23" s="45" t="s">
        <v>69</v>
      </c>
      <c r="E23" s="46">
        <f>SUM(E5:E8)+E16+E22</f>
        <v>17154550.864508398</v>
      </c>
      <c r="F23" s="46">
        <f>E23*10%</f>
        <v>1715455.0864508399</v>
      </c>
      <c r="G23" s="46"/>
      <c r="H23" s="46">
        <f>ROUND(SUM(H5:H8)+H16+H22,-3)</f>
        <v>18808000</v>
      </c>
      <c r="I23" s="29"/>
      <c r="J23" s="29"/>
      <c r="K23" s="30"/>
      <c r="L23" s="29"/>
      <c r="M23" s="30"/>
    </row>
    <row r="24" spans="1:10" ht="20.25" customHeight="1" hidden="1">
      <c r="A24" s="47" t="e">
        <f>'[1]doiso'!A2</f>
        <v>#NAME?</v>
      </c>
      <c r="B24" s="48"/>
      <c r="C24" s="48"/>
      <c r="D24" s="48"/>
      <c r="E24" s="48"/>
      <c r="F24" s="48"/>
      <c r="G24" s="48"/>
      <c r="H24" s="49"/>
      <c r="J24" s="2" t="s">
        <v>51</v>
      </c>
    </row>
    <row r="25" spans="1:13" s="51" customFormat="1" ht="17.25">
      <c r="A25" s="3"/>
      <c r="B25" s="50"/>
      <c r="C25" s="50"/>
      <c r="D25" s="50"/>
      <c r="E25" s="632" t="s">
        <v>70</v>
      </c>
      <c r="F25" s="632"/>
      <c r="G25" s="632"/>
      <c r="H25" s="632"/>
      <c r="I25" s="2"/>
      <c r="J25" s="2"/>
      <c r="K25" s="2"/>
      <c r="L25" s="2"/>
      <c r="M25" s="2"/>
    </row>
    <row r="26" spans="1:16" s="51" customFormat="1" ht="16.5" customHeight="1">
      <c r="A26" s="52"/>
      <c r="B26" s="3"/>
      <c r="C26" s="3"/>
      <c r="D26" s="633" t="s">
        <v>52</v>
      </c>
      <c r="E26" s="633"/>
      <c r="F26" s="633"/>
      <c r="G26" s="633"/>
      <c r="H26" s="633"/>
      <c r="I26" s="96"/>
      <c r="J26" s="96"/>
      <c r="K26" s="96"/>
      <c r="L26" s="96"/>
      <c r="M26" s="96"/>
      <c r="N26" s="96"/>
      <c r="O26" s="96"/>
      <c r="P26" s="96"/>
    </row>
    <row r="27" spans="1:13" s="51" customFormat="1" ht="16.5" customHeight="1">
      <c r="A27" s="53" t="s">
        <v>61</v>
      </c>
      <c r="B27" s="53"/>
      <c r="C27" s="53"/>
      <c r="D27" s="633" t="s">
        <v>102</v>
      </c>
      <c r="E27" s="633"/>
      <c r="F27" s="633"/>
      <c r="G27" s="633"/>
      <c r="H27" s="633"/>
      <c r="I27" s="2"/>
      <c r="J27" s="2" t="e">
        <f>[2]!KIEMTOAN(H23)</f>
        <v>#NAME?</v>
      </c>
      <c r="K27" s="2"/>
      <c r="L27" s="2"/>
      <c r="M27" s="2"/>
    </row>
    <row r="28" spans="1:13" s="51" customFormat="1" ht="17.25">
      <c r="A28" s="53"/>
      <c r="B28" s="53"/>
      <c r="C28" s="50"/>
      <c r="D28" s="50"/>
      <c r="E28" s="633"/>
      <c r="F28" s="633"/>
      <c r="G28" s="633"/>
      <c r="H28" s="633"/>
      <c r="I28" s="2"/>
      <c r="J28" s="2" t="e">
        <f>[2]!QUYETTOAN(E23)</f>
        <v>#NAME?</v>
      </c>
      <c r="K28" s="2"/>
      <c r="L28" s="2"/>
      <c r="M28" s="2"/>
    </row>
    <row r="29" spans="1:13" s="51" customFormat="1" ht="17.25">
      <c r="A29" s="53"/>
      <c r="B29" s="53"/>
      <c r="C29" s="50"/>
      <c r="D29" s="50"/>
      <c r="E29" s="633"/>
      <c r="F29" s="633"/>
      <c r="G29" s="633"/>
      <c r="H29" s="633"/>
      <c r="I29" s="2"/>
      <c r="J29" s="2"/>
      <c r="K29" s="2"/>
      <c r="L29" s="2"/>
      <c r="M29" s="2"/>
    </row>
    <row r="30" spans="1:13" s="51" customFormat="1" ht="22.5" customHeight="1">
      <c r="A30" s="53"/>
      <c r="B30" s="53"/>
      <c r="C30" s="54"/>
      <c r="D30" s="54"/>
      <c r="E30" s="633"/>
      <c r="F30" s="633"/>
      <c r="G30" s="633"/>
      <c r="H30" s="633"/>
      <c r="I30" s="2"/>
      <c r="J30" s="2"/>
      <c r="K30" s="2"/>
      <c r="L30" s="2"/>
      <c r="M30" s="2"/>
    </row>
    <row r="31" spans="1:13" s="51" customFormat="1" ht="17.25" customHeight="1">
      <c r="A31" s="53" t="s">
        <v>101</v>
      </c>
      <c r="B31" s="53"/>
      <c r="C31" s="53"/>
      <c r="D31" s="633" t="s">
        <v>103</v>
      </c>
      <c r="E31" s="633"/>
      <c r="F31" s="633"/>
      <c r="G31" s="633"/>
      <c r="H31" s="633"/>
      <c r="I31" s="2"/>
      <c r="J31" s="2"/>
      <c r="K31" s="2"/>
      <c r="L31" s="2"/>
      <c r="M31" s="2"/>
    </row>
    <row r="32" spans="1:8" ht="23.25" customHeight="1">
      <c r="A32" s="55"/>
      <c r="B32" s="55"/>
      <c r="C32" s="55"/>
      <c r="D32" s="55"/>
      <c r="E32" s="55"/>
      <c r="F32" s="56"/>
      <c r="G32" s="56"/>
      <c r="H32" s="56"/>
    </row>
    <row r="33" spans="1:8" ht="18" customHeight="1" thickBot="1">
      <c r="A33" s="57"/>
      <c r="B33" s="57"/>
      <c r="C33" s="57"/>
      <c r="D33" s="57"/>
      <c r="E33" s="57"/>
      <c r="F33" s="58"/>
      <c r="G33" s="58"/>
      <c r="H33" s="58"/>
    </row>
    <row r="34" spans="1:7" ht="17.25">
      <c r="A34" s="59"/>
      <c r="B34" s="59"/>
      <c r="C34" s="59"/>
      <c r="D34" s="59"/>
      <c r="E34" s="59"/>
      <c r="F34" s="60"/>
      <c r="G34" s="61"/>
    </row>
    <row r="35" spans="1:8" ht="17.25">
      <c r="A35" s="63"/>
      <c r="B35" s="64"/>
      <c r="C35" s="63"/>
      <c r="D35" s="63"/>
      <c r="E35" s="65"/>
      <c r="F35" s="66"/>
      <c r="G35" s="67"/>
      <c r="H35" s="99"/>
    </row>
    <row r="36" spans="1:8" ht="17.25">
      <c r="A36" s="63"/>
      <c r="B36" s="68"/>
      <c r="C36" s="69"/>
      <c r="D36" s="69"/>
      <c r="E36" s="70"/>
      <c r="F36" s="71"/>
      <c r="G36" s="72"/>
      <c r="H36" s="73"/>
    </row>
    <row r="37" spans="1:8" ht="17.25">
      <c r="A37" s="63"/>
      <c r="B37" s="68"/>
      <c r="C37" s="69"/>
      <c r="D37" s="69"/>
      <c r="E37" s="70"/>
      <c r="F37" s="74"/>
      <c r="G37" s="66"/>
      <c r="H37" s="73"/>
    </row>
    <row r="38" spans="1:8" ht="17.25">
      <c r="A38" s="63"/>
      <c r="B38" s="64"/>
      <c r="C38" s="63"/>
      <c r="D38" s="69"/>
      <c r="E38" s="75"/>
      <c r="F38" s="74"/>
      <c r="G38" s="66"/>
      <c r="H38" s="76"/>
    </row>
    <row r="39" spans="1:8" ht="17.25">
      <c r="A39" s="59"/>
      <c r="B39" s="59"/>
      <c r="C39" s="59"/>
      <c r="D39" s="59"/>
      <c r="E39" s="77"/>
      <c r="F39" s="78"/>
      <c r="G39" s="60"/>
      <c r="H39" s="73"/>
    </row>
    <row r="40" spans="6:8" ht="17.25">
      <c r="F40" s="80"/>
      <c r="G40" s="80"/>
      <c r="H40" s="73"/>
    </row>
    <row r="41" spans="6:8" ht="17.25">
      <c r="F41" s="80"/>
      <c r="G41" s="80"/>
      <c r="H41" s="73"/>
    </row>
    <row r="42" spans="6:8" ht="17.25">
      <c r="F42" s="80"/>
      <c r="G42" s="80"/>
      <c r="H42" s="73"/>
    </row>
    <row r="47" ht="17.25">
      <c r="H47" s="81"/>
    </row>
    <row r="48" ht="17.25">
      <c r="H48" s="81"/>
    </row>
  </sheetData>
  <sheetProtection/>
  <mergeCells count="10">
    <mergeCell ref="A1:H1"/>
    <mergeCell ref="A2:H2"/>
    <mergeCell ref="A3:H3"/>
    <mergeCell ref="E25:H25"/>
    <mergeCell ref="D27:H27"/>
    <mergeCell ref="D31:H31"/>
    <mergeCell ref="D26:H26"/>
    <mergeCell ref="E28:H28"/>
    <mergeCell ref="E29:H29"/>
    <mergeCell ref="E30:H30"/>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0"/>
  <dimension ref="A1:H28"/>
  <sheetViews>
    <sheetView zoomScale="85" zoomScaleNormal="85" workbookViewId="0" topLeftCell="A1">
      <selection activeCell="C12" sqref="C12"/>
    </sheetView>
  </sheetViews>
  <sheetFormatPr defaultColWidth="9.140625" defaultRowHeight="12.75"/>
  <cols>
    <col min="1" max="1" width="6.140625" style="485" customWidth="1"/>
    <col min="2" max="2" width="54.140625" style="485" customWidth="1"/>
    <col min="3" max="3" width="31.8515625" style="485" customWidth="1"/>
    <col min="4" max="4" width="25.140625" style="486" customWidth="1"/>
    <col min="5" max="5" width="12.140625" style="485" customWidth="1"/>
    <col min="6" max="7" width="9.140625" style="485" customWidth="1"/>
    <col min="8" max="8" width="12.421875" style="485" bestFit="1" customWidth="1"/>
    <col min="9" max="16384" width="9.140625" style="485" customWidth="1"/>
  </cols>
  <sheetData>
    <row r="1" spans="1:5" s="448" customFormat="1" ht="23.25">
      <c r="A1" s="447" t="s">
        <v>1333</v>
      </c>
      <c r="B1" s="447"/>
      <c r="C1" s="447"/>
      <c r="D1" s="447"/>
      <c r="E1" s="447"/>
    </row>
    <row r="2" spans="1:5" s="449" customFormat="1" ht="20.25" customHeight="1">
      <c r="A2" s="694" t="s">
        <v>1401</v>
      </c>
      <c r="B2" s="694"/>
      <c r="C2" s="694"/>
      <c r="D2" s="694"/>
      <c r="E2" s="694"/>
    </row>
    <row r="3" spans="1:5" s="452" customFormat="1" ht="18" customHeight="1">
      <c r="A3" s="450" t="s">
        <v>1</v>
      </c>
      <c r="B3" s="450" t="s">
        <v>267</v>
      </c>
      <c r="C3" s="450" t="s">
        <v>265</v>
      </c>
      <c r="D3" s="451" t="s">
        <v>1251</v>
      </c>
      <c r="E3" s="450" t="s">
        <v>264</v>
      </c>
    </row>
    <row r="4" spans="1:5" s="458" customFormat="1" ht="18" customHeight="1">
      <c r="A4" s="453" t="s">
        <v>9</v>
      </c>
      <c r="B4" s="505" t="s">
        <v>357</v>
      </c>
      <c r="C4" s="453" t="s">
        <v>1252</v>
      </c>
      <c r="D4" s="506">
        <f>SUM(D5:D14)</f>
        <v>18986479781.81818</v>
      </c>
      <c r="E4" s="507"/>
    </row>
    <row r="5" spans="1:8" s="449" customFormat="1" ht="18" customHeight="1">
      <c r="A5" s="492">
        <v>1</v>
      </c>
      <c r="B5" s="503" t="s">
        <v>1278</v>
      </c>
      <c r="C5" s="497" t="s">
        <v>1255</v>
      </c>
      <c r="D5" s="494">
        <f>GXD1!D9</f>
        <v>16297220000</v>
      </c>
      <c r="E5" s="504" t="s">
        <v>1283</v>
      </c>
      <c r="G5" s="449">
        <f>635.71+635.71+635.71+398.83+398.83</f>
        <v>2704.79</v>
      </c>
      <c r="H5" s="479">
        <f>D5/G5</f>
        <v>6025318.046872401</v>
      </c>
    </row>
    <row r="6" spans="1:7" s="449" customFormat="1" ht="31.5" customHeight="1">
      <c r="A6" s="543">
        <v>2</v>
      </c>
      <c r="B6" s="496" t="s">
        <v>1310</v>
      </c>
      <c r="C6" s="497" t="s">
        <v>1330</v>
      </c>
      <c r="D6" s="466">
        <f>172*1700000</f>
        <v>292400000</v>
      </c>
      <c r="E6" s="540" t="s">
        <v>1315</v>
      </c>
      <c r="G6" s="449">
        <f>48+90</f>
        <v>138</v>
      </c>
    </row>
    <row r="7" spans="1:5" s="449" customFormat="1" ht="21.75" customHeight="1">
      <c r="A7" s="492">
        <v>3</v>
      </c>
      <c r="B7" s="496" t="s">
        <v>1311</v>
      </c>
      <c r="C7" s="497" t="s">
        <v>1320</v>
      </c>
      <c r="D7" s="466">
        <f>964.26*180000</f>
        <v>173566800</v>
      </c>
      <c r="E7" s="504" t="s">
        <v>1316</v>
      </c>
    </row>
    <row r="8" spans="1:5" s="449" customFormat="1" ht="18" customHeight="1">
      <c r="A8" s="492">
        <v>4</v>
      </c>
      <c r="B8" s="496" t="s">
        <v>1312</v>
      </c>
      <c r="C8" s="497" t="s">
        <v>1321</v>
      </c>
      <c r="D8" s="466">
        <f>677.02*200000</f>
        <v>135404000</v>
      </c>
      <c r="E8" s="504" t="s">
        <v>1317</v>
      </c>
    </row>
    <row r="9" spans="1:5" s="449" customFormat="1" ht="18" customHeight="1">
      <c r="A9" s="492">
        <v>5</v>
      </c>
      <c r="B9" s="496" t="s">
        <v>1322</v>
      </c>
      <c r="C9" s="497" t="s">
        <v>1327</v>
      </c>
      <c r="D9" s="466">
        <f>9*6000000</f>
        <v>54000000</v>
      </c>
      <c r="E9" s="504" t="s">
        <v>1318</v>
      </c>
    </row>
    <row r="10" spans="1:5" s="449" customFormat="1" ht="18" customHeight="1">
      <c r="A10" s="492">
        <v>6</v>
      </c>
      <c r="B10" s="496" t="s">
        <v>1323</v>
      </c>
      <c r="C10" s="497" t="s">
        <v>1331</v>
      </c>
      <c r="D10" s="466">
        <f>46.7*2700000</f>
        <v>126090000.00000001</v>
      </c>
      <c r="E10" s="504" t="s">
        <v>1284</v>
      </c>
    </row>
    <row r="11" spans="1:5" s="449" customFormat="1" ht="18" customHeight="1">
      <c r="A11" s="492">
        <v>7</v>
      </c>
      <c r="B11" s="496" t="s">
        <v>1303</v>
      </c>
      <c r="C11" s="497" t="s">
        <v>1304</v>
      </c>
      <c r="D11" s="466">
        <f>255000000*2</f>
        <v>510000000</v>
      </c>
      <c r="E11" s="504" t="s">
        <v>1319</v>
      </c>
    </row>
    <row r="12" spans="1:5" s="449" customFormat="1" ht="18" customHeight="1">
      <c r="A12" s="492">
        <v>8</v>
      </c>
      <c r="B12" s="496" t="s">
        <v>1279</v>
      </c>
      <c r="C12" s="498" t="s">
        <v>329</v>
      </c>
      <c r="D12" s="466">
        <v>650000000</v>
      </c>
      <c r="E12" s="504" t="s">
        <v>1285</v>
      </c>
    </row>
    <row r="13" spans="1:5" s="488" customFormat="1" ht="18" customHeight="1">
      <c r="A13" s="492">
        <v>9</v>
      </c>
      <c r="B13" s="537" t="s">
        <v>1280</v>
      </c>
      <c r="C13" s="499" t="s">
        <v>329</v>
      </c>
      <c r="D13" s="538">
        <f>677400000/1.1+72000000</f>
        <v>687818181.8181818</v>
      </c>
      <c r="E13" s="504" t="s">
        <v>1286</v>
      </c>
    </row>
    <row r="14" spans="1:7" s="488" customFormat="1" ht="18" customHeight="1">
      <c r="A14" s="492">
        <v>10</v>
      </c>
      <c r="B14" s="537" t="s">
        <v>1313</v>
      </c>
      <c r="C14" s="539" t="s">
        <v>1314</v>
      </c>
      <c r="D14" s="538">
        <f>499.84*120000</f>
        <v>59980800</v>
      </c>
      <c r="E14" s="504" t="s">
        <v>1324</v>
      </c>
      <c r="G14" s="488">
        <f>25.83+35.05+20.26+45.74+92.57+173.18+107.21</f>
        <v>499.84</v>
      </c>
    </row>
    <row r="15" spans="1:5" s="449" customFormat="1" ht="18" customHeight="1">
      <c r="A15" s="500" t="s">
        <v>12</v>
      </c>
      <c r="B15" s="501" t="s">
        <v>361</v>
      </c>
      <c r="C15" s="500" t="s">
        <v>1281</v>
      </c>
      <c r="D15" s="502" t="e">
        <f>SUM(D16:D18)</f>
        <v>#REF!</v>
      </c>
      <c r="E15" s="489"/>
    </row>
    <row r="16" spans="1:5" s="449" customFormat="1" ht="15.75">
      <c r="A16" s="461">
        <v>1</v>
      </c>
      <c r="B16" s="532" t="s">
        <v>1307</v>
      </c>
      <c r="C16" s="461" t="s">
        <v>329</v>
      </c>
      <c r="D16" s="541" t="e">
        <f>#REF!</f>
        <v>#REF!</v>
      </c>
      <c r="E16" s="461"/>
    </row>
    <row r="17" spans="1:5" s="449" customFormat="1" ht="18.75">
      <c r="A17" s="445">
        <v>2</v>
      </c>
      <c r="B17" s="473" t="s">
        <v>1282</v>
      </c>
      <c r="C17" s="468" t="s">
        <v>329</v>
      </c>
      <c r="D17" s="474" t="e">
        <f>#REF!</f>
        <v>#REF!</v>
      </c>
      <c r="E17" s="465" t="s">
        <v>1305</v>
      </c>
    </row>
    <row r="18" spans="1:5" s="449" customFormat="1" ht="18.75">
      <c r="A18" s="533">
        <v>4</v>
      </c>
      <c r="B18" s="495" t="s">
        <v>1302</v>
      </c>
      <c r="C18" s="534" t="s">
        <v>329</v>
      </c>
      <c r="D18" s="535" t="e">
        <f>#REF!</f>
        <v>#REF!</v>
      </c>
      <c r="E18" s="536" t="s">
        <v>1306</v>
      </c>
    </row>
    <row r="19" spans="1:5" s="449" customFormat="1" ht="15.75">
      <c r="A19" s="469" t="s">
        <v>15</v>
      </c>
      <c r="B19" s="470" t="s">
        <v>1256</v>
      </c>
      <c r="C19" s="469" t="s">
        <v>1257</v>
      </c>
      <c r="D19" s="471" t="e">
        <f>D4+D15</f>
        <v>#REF!</v>
      </c>
      <c r="E19" s="469" t="s">
        <v>93</v>
      </c>
    </row>
    <row r="20" spans="1:5" s="449" customFormat="1" ht="18" customHeight="1">
      <c r="A20" s="465"/>
      <c r="B20" s="473" t="s">
        <v>1259</v>
      </c>
      <c r="C20" s="465" t="s">
        <v>1260</v>
      </c>
      <c r="D20" s="474" t="e">
        <f>D19*10%</f>
        <v>#REF!</v>
      </c>
      <c r="E20" s="465" t="s">
        <v>84</v>
      </c>
    </row>
    <row r="21" spans="1:5" s="449" customFormat="1" ht="18" customHeight="1">
      <c r="A21" s="476" t="s">
        <v>18</v>
      </c>
      <c r="B21" s="477" t="s">
        <v>285</v>
      </c>
      <c r="C21" s="476" t="s">
        <v>95</v>
      </c>
      <c r="D21" s="478" t="e">
        <f>SUM(D19:D20)</f>
        <v>#REF!</v>
      </c>
      <c r="E21" s="490" t="s">
        <v>1275</v>
      </c>
    </row>
    <row r="22" spans="1:5" s="449" customFormat="1" ht="25.5" customHeight="1">
      <c r="A22" s="480" t="s">
        <v>35</v>
      </c>
      <c r="B22" s="481" t="s">
        <v>1261</v>
      </c>
      <c r="C22" s="482" t="s">
        <v>1265</v>
      </c>
      <c r="D22" s="483" t="e">
        <f>SUM(D21)</f>
        <v>#REF!</v>
      </c>
      <c r="E22" s="480" t="s">
        <v>1276</v>
      </c>
    </row>
    <row r="23" spans="1:5" ht="18" customHeight="1">
      <c r="A23" s="484"/>
      <c r="C23" s="484"/>
      <c r="E23" s="484"/>
    </row>
    <row r="24" spans="1:3" ht="18" customHeight="1">
      <c r="A24" s="484"/>
      <c r="C24" s="484"/>
    </row>
    <row r="25" ht="18" customHeight="1">
      <c r="A25" s="484"/>
    </row>
    <row r="26" ht="12.75">
      <c r="A26" s="484"/>
    </row>
    <row r="27" ht="12.75">
      <c r="A27" s="484"/>
    </row>
    <row r="28" ht="12.75">
      <c r="A28" s="484"/>
    </row>
  </sheetData>
  <sheetProtection/>
  <mergeCells count="1">
    <mergeCell ref="A2:E2"/>
  </mergeCells>
  <dataValidations count="1">
    <dataValidation allowBlank="1" showInputMessage="1" showErrorMessage="1" promptTitle="Lưu ý" prompt="Bạn không được xóa và sửa thông thin trong cột này" sqref="B13:B14 B17:B30"/>
  </dataValidations>
  <printOptions horizontalCentered="1"/>
  <pageMargins left="1.05"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1"/>
  <dimension ref="B2:M37"/>
  <sheetViews>
    <sheetView zoomScale="55" zoomScaleNormal="55" zoomScalePageLayoutView="0" workbookViewId="0" topLeftCell="A16">
      <selection activeCell="J31" sqref="J31 K31:L32"/>
    </sheetView>
  </sheetViews>
  <sheetFormatPr defaultColWidth="9.140625" defaultRowHeight="12.75"/>
  <cols>
    <col min="1" max="1" width="9.140625" style="407" customWidth="1"/>
    <col min="2" max="2" width="34.421875" style="407" customWidth="1"/>
    <col min="3" max="3" width="34.00390625" style="407" customWidth="1"/>
    <col min="4" max="7" width="9.421875" style="407" bestFit="1" customWidth="1"/>
    <col min="8" max="8" width="15.8515625" style="407" customWidth="1"/>
    <col min="9" max="9" width="10.57421875" style="407" bestFit="1" customWidth="1"/>
    <col min="10" max="10" width="27.421875" style="407" customWidth="1"/>
    <col min="11" max="11" width="13.421875" style="407" customWidth="1"/>
    <col min="12" max="12" width="21.421875" style="407" customWidth="1"/>
    <col min="13" max="13" width="14.421875" style="407" customWidth="1"/>
    <col min="14" max="16384" width="9.140625" style="407" customWidth="1"/>
  </cols>
  <sheetData>
    <row r="2" spans="2:9" ht="52.5" customHeight="1">
      <c r="B2" s="696" t="s">
        <v>1184</v>
      </c>
      <c r="C2" s="696"/>
      <c r="D2" s="696"/>
      <c r="E2" s="696"/>
      <c r="F2" s="696"/>
      <c r="G2" s="696"/>
      <c r="H2" s="696"/>
      <c r="I2" s="406"/>
    </row>
    <row r="3" ht="37.5" customHeight="1"/>
    <row r="4" spans="2:9" ht="16.5">
      <c r="B4" s="408" t="s">
        <v>313</v>
      </c>
      <c r="C4" s="408">
        <v>5</v>
      </c>
      <c r="D4" s="408">
        <v>10</v>
      </c>
      <c r="E4" s="408">
        <v>50</v>
      </c>
      <c r="F4" s="408">
        <v>100</v>
      </c>
      <c r="G4" s="408">
        <v>500</v>
      </c>
      <c r="H4" s="408">
        <v>1000</v>
      </c>
      <c r="I4" s="408">
        <v>10000</v>
      </c>
    </row>
    <row r="5" spans="2:9" ht="16.5">
      <c r="B5" s="408" t="s">
        <v>314</v>
      </c>
      <c r="C5" s="408">
        <v>0.95</v>
      </c>
      <c r="D5" s="408">
        <v>0.65</v>
      </c>
      <c r="E5" s="408">
        <v>0.475</v>
      </c>
      <c r="F5" s="408">
        <v>0.375</v>
      </c>
      <c r="G5" s="408">
        <v>0.225</v>
      </c>
      <c r="H5" s="408">
        <v>0.15</v>
      </c>
      <c r="I5" s="408">
        <v>0.08</v>
      </c>
    </row>
    <row r="6" spans="2:9" ht="16.5">
      <c r="B6" s="408" t="s">
        <v>315</v>
      </c>
      <c r="C6" s="408">
        <v>1.6</v>
      </c>
      <c r="D6" s="408">
        <v>1.075</v>
      </c>
      <c r="E6" s="408">
        <v>0.75</v>
      </c>
      <c r="F6" s="408">
        <v>0.575</v>
      </c>
      <c r="G6" s="408">
        <v>0.325</v>
      </c>
      <c r="H6" s="408">
        <v>0.215</v>
      </c>
      <c r="I6" s="408">
        <v>0.115</v>
      </c>
    </row>
    <row r="7" spans="10:12" ht="16.5">
      <c r="J7" s="408" t="s">
        <v>316</v>
      </c>
      <c r="K7" s="408" t="s">
        <v>317</v>
      </c>
      <c r="L7" s="409">
        <f>HLOOKUP(L10,$C$4:$I$6,2,1)</f>
        <v>0.65</v>
      </c>
    </row>
    <row r="8" spans="10:12" ht="16.5">
      <c r="J8" s="408" t="s">
        <v>318</v>
      </c>
      <c r="K8" s="408" t="s">
        <v>319</v>
      </c>
      <c r="L8" s="409">
        <f>HLOOKUP(L11,C4:I6,2,1)</f>
        <v>0.95</v>
      </c>
    </row>
    <row r="9" spans="10:12" ht="16.5">
      <c r="J9" s="408" t="s">
        <v>320</v>
      </c>
      <c r="K9" s="408" t="s">
        <v>321</v>
      </c>
      <c r="L9" s="410">
        <f>'TM IN'!J38/1000000000</f>
        <v>9.246473740998729</v>
      </c>
    </row>
    <row r="10" spans="10:12" ht="16.5">
      <c r="J10" s="411" t="s">
        <v>322</v>
      </c>
      <c r="K10" s="408" t="s">
        <v>323</v>
      </c>
      <c r="L10" s="410">
        <f>IF(L9&lt;=5,5,IF(L9&lt;D4,10,INDEX(C4:I4,MATCH(L9,C4:I4,1)+1)))</f>
        <v>10</v>
      </c>
    </row>
    <row r="11" spans="10:12" ht="16.5">
      <c r="J11" s="411" t="s">
        <v>324</v>
      </c>
      <c r="K11" s="408" t="s">
        <v>325</v>
      </c>
      <c r="L11" s="410">
        <f>IF(L9&lt;C4,C4,IF(L9&gt;I4,I4,HLOOKUP(L9,$C$4:$I$4,1,1)))</f>
        <v>5</v>
      </c>
    </row>
    <row r="12" spans="8:12" ht="23.25" customHeight="1">
      <c r="H12" s="408" t="s">
        <v>1182</v>
      </c>
      <c r="I12" s="412">
        <f>IF(L9&lt;5,C5,L8-(L8-L7)*(L9-L11)/(L10-L11))</f>
        <v>0.6952115755400763</v>
      </c>
      <c r="L12" s="413"/>
    </row>
    <row r="13" ht="16.5">
      <c r="L13" s="413"/>
    </row>
    <row r="14" ht="16.5">
      <c r="L14" s="413"/>
    </row>
    <row r="15" ht="16.5">
      <c r="L15" s="413"/>
    </row>
    <row r="16" spans="10:12" ht="16.5">
      <c r="J16" s="408" t="s">
        <v>316</v>
      </c>
      <c r="K16" s="408" t="s">
        <v>317</v>
      </c>
      <c r="L16" s="409">
        <f>HLOOKUP(L19,$C$4:$I$6,3,1)</f>
        <v>1.075</v>
      </c>
    </row>
    <row r="17" spans="10:12" ht="16.5">
      <c r="J17" s="408" t="s">
        <v>318</v>
      </c>
      <c r="K17" s="408" t="s">
        <v>319</v>
      </c>
      <c r="L17" s="409">
        <f>HLOOKUP(L20,$C$4:$I$6,3,1)</f>
        <v>1.6</v>
      </c>
    </row>
    <row r="18" spans="2:12" ht="16.5">
      <c r="B18" s="695"/>
      <c r="C18" s="695"/>
      <c r="D18" s="695"/>
      <c r="E18" s="695"/>
      <c r="F18" s="695"/>
      <c r="G18" s="695"/>
      <c r="J18" s="408" t="s">
        <v>320</v>
      </c>
      <c r="K18" s="408" t="s">
        <v>321</v>
      </c>
      <c r="L18" s="410">
        <f>L9</f>
        <v>9.246473740998729</v>
      </c>
    </row>
    <row r="19" spans="10:12" ht="16.5">
      <c r="J19" s="411" t="s">
        <v>322</v>
      </c>
      <c r="K19" s="408" t="s">
        <v>323</v>
      </c>
      <c r="L19" s="414">
        <f>L10</f>
        <v>10</v>
      </c>
    </row>
    <row r="20" spans="10:12" ht="16.5">
      <c r="J20" s="411" t="s">
        <v>324</v>
      </c>
      <c r="K20" s="408" t="s">
        <v>325</v>
      </c>
      <c r="L20" s="414">
        <f>L11</f>
        <v>5</v>
      </c>
    </row>
    <row r="21" spans="8:9" ht="28.5" customHeight="1">
      <c r="H21" s="408" t="s">
        <v>1183</v>
      </c>
      <c r="I21" s="412">
        <f>IF(L18&lt;5,C6,L17-(L17-L16)*(L18-L20)/(L19-L20))</f>
        <v>1.1541202571951334</v>
      </c>
    </row>
    <row r="27" spans="2:8" ht="34.5" customHeight="1">
      <c r="B27" s="696" t="s">
        <v>1185</v>
      </c>
      <c r="C27" s="696"/>
      <c r="D27" s="696"/>
      <c r="E27" s="696"/>
      <c r="F27" s="696"/>
      <c r="G27" s="696"/>
      <c r="H27" s="696"/>
    </row>
    <row r="28" ht="16.5"/>
    <row r="29" spans="2:10" ht="16.5">
      <c r="B29" s="697" t="s">
        <v>1</v>
      </c>
      <c r="C29" s="415" t="s">
        <v>435</v>
      </c>
      <c r="D29" s="339"/>
      <c r="E29" s="339"/>
      <c r="F29" s="339"/>
      <c r="G29" s="339"/>
      <c r="H29" s="339"/>
      <c r="I29" s="339"/>
      <c r="J29" s="416"/>
    </row>
    <row r="30" spans="2:12" ht="16.5">
      <c r="B30" s="697"/>
      <c r="C30" s="415" t="s">
        <v>111</v>
      </c>
      <c r="D30" s="339"/>
      <c r="E30" s="339"/>
      <c r="F30" s="339"/>
      <c r="G30" s="339"/>
      <c r="H30" s="339"/>
      <c r="I30" s="339"/>
      <c r="J30" s="417" t="s">
        <v>454</v>
      </c>
      <c r="K30" s="418" t="s">
        <v>455</v>
      </c>
      <c r="L30" s="418" t="s">
        <v>456</v>
      </c>
    </row>
    <row r="31" spans="2:12" ht="16.5">
      <c r="B31" s="697"/>
      <c r="C31" s="339" t="s">
        <v>436</v>
      </c>
      <c r="D31" s="419">
        <v>15</v>
      </c>
      <c r="E31" s="419">
        <v>100</v>
      </c>
      <c r="F31" s="419">
        <v>500</v>
      </c>
      <c r="G31" s="419">
        <v>1000</v>
      </c>
      <c r="H31" s="419">
        <v>5000</v>
      </c>
      <c r="I31" s="419">
        <v>10000</v>
      </c>
      <c r="J31" s="420">
        <f>L9</f>
        <v>9.246473740998729</v>
      </c>
      <c r="K31" s="421">
        <f>IF(J31&lt;D31,15,IF(J31&gt;I31,I31,HLOOKUP(J31,$D$31:$I$31,1)))</f>
        <v>15</v>
      </c>
      <c r="L31" s="421">
        <f>IF(J31&lt;15,15,IF(J31&lt;E31,E31,IF(J31&gt;I31,I31,INDEX(D31:I31,MATCH(J31,D31:I31,1)+1))))</f>
        <v>15</v>
      </c>
    </row>
    <row r="32" spans="2:13" ht="48" customHeight="1">
      <c r="B32" s="430">
        <v>3</v>
      </c>
      <c r="C32" s="340" t="s">
        <v>437</v>
      </c>
      <c r="D32" s="422">
        <v>0.00671</v>
      </c>
      <c r="E32" s="422">
        <v>0.00363</v>
      </c>
      <c r="F32" s="422">
        <v>0.00202</v>
      </c>
      <c r="G32" s="422">
        <v>0.00135</v>
      </c>
      <c r="H32" s="422">
        <v>0.00075</v>
      </c>
      <c r="I32" s="422">
        <v>0.0005</v>
      </c>
      <c r="J32" s="426">
        <f>IF(L31-K31&gt;0,K32-(K32-L32)*(J31-K31)/(L31-K31),K32)</f>
        <v>0.00671</v>
      </c>
      <c r="K32" s="423">
        <f>IF(J31&lt;=15,D32,HLOOKUP(K31,$D$31:$I$32,2,1))</f>
        <v>0.00671</v>
      </c>
      <c r="L32" s="424">
        <f>IF(J31&lt;=15,D32,HLOOKUP(L31,$D$31:$I$32,2,1))</f>
        <v>0.00671</v>
      </c>
      <c r="M32" s="425"/>
    </row>
    <row r="33" spans="2:13" ht="48" customHeight="1">
      <c r="B33" s="430">
        <v>5</v>
      </c>
      <c r="C33" s="338" t="s">
        <v>700</v>
      </c>
      <c r="D33" s="422">
        <v>0.00671</v>
      </c>
      <c r="E33" s="422">
        <v>0.00363</v>
      </c>
      <c r="F33" s="422">
        <v>0.00202</v>
      </c>
      <c r="G33" s="422">
        <v>0.00135</v>
      </c>
      <c r="H33" s="422">
        <v>0.00075</v>
      </c>
      <c r="I33" s="422">
        <v>0.0005</v>
      </c>
      <c r="J33" s="426">
        <f>IF(L31-K31&gt;0,K33-(K33-L33)*(J32-K32)/(L32-K32),K33)</f>
        <v>0.00671</v>
      </c>
      <c r="K33" s="423">
        <f>IF(J32&lt;=15,D33,HLOOKUP(K32,$D$31:$I$33,3,1))</f>
        <v>0.00671</v>
      </c>
      <c r="L33" s="424">
        <f>IF(J31&lt;=15,D33,HLOOKUP(L31,$D$31:$I$33,3,1))</f>
        <v>0.00671</v>
      </c>
      <c r="M33" s="425"/>
    </row>
    <row r="34" spans="2:13" ht="49.5" customHeight="1">
      <c r="B34" s="430">
        <v>6</v>
      </c>
      <c r="C34" s="340" t="s">
        <v>438</v>
      </c>
      <c r="D34" s="422">
        <v>0.01328</v>
      </c>
      <c r="E34" s="422">
        <v>0.00718</v>
      </c>
      <c r="F34" s="422">
        <v>0.00399</v>
      </c>
      <c r="G34" s="422">
        <v>0.00266</v>
      </c>
      <c r="H34" s="422">
        <v>0.00148</v>
      </c>
      <c r="I34" s="422">
        <v>0.00099</v>
      </c>
      <c r="J34" s="426">
        <f>IF(L31-K31&gt;0,K34-(K34-L34)*(J31-K31)/(L31-K31),K34)</f>
        <v>0.01328</v>
      </c>
      <c r="K34" s="423">
        <f>IF(J31&lt;=15,D34,HLOOKUP(K31,$D$31:$I$34,4,1))</f>
        <v>0.01328</v>
      </c>
      <c r="L34" s="424">
        <f>IF(J31&lt;=15,D34,HLOOKUP(L31,$D$31:$I$34,4,1))</f>
        <v>0.01328</v>
      </c>
      <c r="M34" s="425"/>
    </row>
    <row r="35" spans="2:13" ht="44.25" customHeight="1">
      <c r="B35" s="430">
        <v>1</v>
      </c>
      <c r="C35" s="340" t="s">
        <v>439</v>
      </c>
      <c r="D35" s="422">
        <v>0.00967</v>
      </c>
      <c r="E35" s="422">
        <v>0.00523</v>
      </c>
      <c r="F35" s="422">
        <v>0.00291</v>
      </c>
      <c r="G35" s="422">
        <v>0.00194</v>
      </c>
      <c r="H35" s="422">
        <v>0.00108</v>
      </c>
      <c r="I35" s="422">
        <v>0.00072</v>
      </c>
      <c r="J35" s="426">
        <f>IF(L31-K31&gt;0,K35-(K35-L35)*(J31-K31)/(L31-K31),K35)</f>
        <v>0.00967</v>
      </c>
      <c r="K35" s="423">
        <f>IF(J31&lt;=15,D35,HLOOKUP(K31,$D$31:$I$35,5,1))</f>
        <v>0.00967</v>
      </c>
      <c r="L35" s="424">
        <f>IF(J31&lt;=15,D35,HLOOKUP(L31,$D$31:$I$35,5,1))</f>
        <v>0.00967</v>
      </c>
      <c r="M35" s="425"/>
    </row>
    <row r="36" spans="2:13" ht="44.25" customHeight="1">
      <c r="B36" s="430">
        <v>2</v>
      </c>
      <c r="C36" s="338" t="s">
        <v>700</v>
      </c>
      <c r="D36" s="422">
        <v>0.00967</v>
      </c>
      <c r="E36" s="422">
        <v>0.00523</v>
      </c>
      <c r="F36" s="422">
        <v>0.00291</v>
      </c>
      <c r="G36" s="422">
        <v>0.00194</v>
      </c>
      <c r="H36" s="422">
        <v>0.00108</v>
      </c>
      <c r="I36" s="422">
        <v>0.00072</v>
      </c>
      <c r="J36" s="426">
        <f>IF(L31&gt;K31,K36-(K36-L36)*(J31-K31)/(L31-K31),K36)</f>
        <v>0.00967</v>
      </c>
      <c r="K36" s="423">
        <f>IF(J31&lt;=15,D36,HLOOKUP(K31,$D$31:$I$36,6,1))</f>
        <v>0.00967</v>
      </c>
      <c r="L36" s="424">
        <f>IF(J31&lt;=15,D36,HLOOKUP(L31,$D$31:$I$36,6,1))</f>
        <v>0.00967</v>
      </c>
      <c r="M36" s="425"/>
    </row>
    <row r="37" spans="2:13" ht="33" customHeight="1">
      <c r="B37" s="430">
        <v>4</v>
      </c>
      <c r="C37" s="340" t="s">
        <v>440</v>
      </c>
      <c r="D37" s="422">
        <v>0.00888</v>
      </c>
      <c r="E37" s="422">
        <v>0.0048</v>
      </c>
      <c r="F37" s="422">
        <v>0.00267</v>
      </c>
      <c r="G37" s="422">
        <v>0.00178</v>
      </c>
      <c r="H37" s="422">
        <v>0.00099</v>
      </c>
      <c r="I37" s="422">
        <v>0.00066</v>
      </c>
      <c r="J37" s="426">
        <f>IF(L31-K31&gt;0,K37-(K37-L37)*(J31-K31)/(L31-K31),K37)</f>
        <v>0.00888</v>
      </c>
      <c r="K37" s="423">
        <f>IF(J31&lt;=15,D37,HLOOKUP(K31,$D$31:$I$37,7,1))</f>
        <v>0.00888</v>
      </c>
      <c r="L37" s="424">
        <f>IF(J31&lt;=15,D37,HLOOKUP(L31,$D$31:$I$37,7,1))</f>
        <v>0.00888</v>
      </c>
      <c r="M37" s="425"/>
    </row>
  </sheetData>
  <sheetProtection password="CACB" sheet="1" formatCells="0" formatColumns="0" formatRows="0" insertColumns="0" insertRows="0" insertHyperlinks="0" deleteColumns="0" deleteRows="0" sort="0" autoFilter="0" pivotTables="0"/>
  <mergeCells count="4">
    <mergeCell ref="B18:G18"/>
    <mergeCell ref="B27:H27"/>
    <mergeCell ref="B2:H2"/>
    <mergeCell ref="B29:B31"/>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2"/>
  <dimension ref="A1:Q229"/>
  <sheetViews>
    <sheetView zoomScale="55" zoomScaleNormal="55" zoomScalePageLayoutView="0" workbookViewId="0" topLeftCell="A32">
      <selection activeCell="O47" sqref="O47"/>
    </sheetView>
  </sheetViews>
  <sheetFormatPr defaultColWidth="9.140625" defaultRowHeight="12.75"/>
  <cols>
    <col min="1" max="1" width="8.00390625" style="354" customWidth="1"/>
    <col min="2" max="2" width="64.8515625" style="354" customWidth="1"/>
    <col min="3" max="6" width="9.140625" style="354" customWidth="1"/>
    <col min="7" max="7" width="10.140625" style="354" bestFit="1" customWidth="1"/>
    <col min="8" max="8" width="12.00390625" style="354" customWidth="1"/>
    <col min="9" max="9" width="11.00390625" style="354" customWidth="1"/>
    <col min="10" max="10" width="12.421875" style="354" customWidth="1"/>
    <col min="11" max="11" width="9.57421875" style="354" customWidth="1"/>
    <col min="12" max="12" width="10.8515625" style="354" customWidth="1"/>
    <col min="13" max="13" width="9.140625" style="354" customWidth="1"/>
    <col min="14" max="14" width="9.8515625" style="354" customWidth="1"/>
    <col min="15" max="15" width="11.421875" style="353" customWidth="1"/>
    <col min="16" max="16" width="10.421875" style="354" customWidth="1"/>
    <col min="17" max="17" width="10.00390625" style="354" customWidth="1"/>
    <col min="18" max="16384" width="9.140625" style="354" customWidth="1"/>
  </cols>
  <sheetData>
    <row r="1" spans="1:14" ht="22.5">
      <c r="A1" s="699" t="s">
        <v>442</v>
      </c>
      <c r="B1" s="699"/>
      <c r="C1" s="699"/>
      <c r="D1" s="699"/>
      <c r="E1" s="699"/>
      <c r="F1" s="699"/>
      <c r="G1" s="699"/>
      <c r="H1" s="699"/>
      <c r="I1" s="699"/>
      <c r="J1" s="699"/>
      <c r="K1" s="699"/>
      <c r="L1" s="699"/>
      <c r="M1" s="699"/>
      <c r="N1" s="699"/>
    </row>
    <row r="2" spans="1:14" ht="22.5">
      <c r="A2" s="699" t="s">
        <v>443</v>
      </c>
      <c r="B2" s="699"/>
      <c r="C2" s="699"/>
      <c r="D2" s="699"/>
      <c r="E2" s="699"/>
      <c r="F2" s="699"/>
      <c r="G2" s="699"/>
      <c r="H2" s="699"/>
      <c r="I2" s="699"/>
      <c r="J2" s="699"/>
      <c r="K2" s="699"/>
      <c r="L2" s="699"/>
      <c r="M2" s="699"/>
      <c r="N2" s="699"/>
    </row>
    <row r="3" ht="15"/>
    <row r="4" spans="1:13" ht="20.25">
      <c r="A4" s="698" t="s">
        <v>444</v>
      </c>
      <c r="B4" s="698"/>
      <c r="C4" s="703">
        <f>'TM IN'!F6/1000000000</f>
        <v>10.15604759</v>
      </c>
      <c r="D4" s="703"/>
      <c r="E4" s="355" t="s">
        <v>111</v>
      </c>
      <c r="G4" s="356"/>
      <c r="H4" s="356"/>
      <c r="I4" s="356"/>
      <c r="J4" s="356"/>
      <c r="K4" s="356"/>
      <c r="L4" s="356"/>
      <c r="M4" s="357"/>
    </row>
    <row r="5" spans="1:15" ht="63">
      <c r="A5" s="698" t="s">
        <v>445</v>
      </c>
      <c r="B5" s="698"/>
      <c r="C5" s="703">
        <f>'TM IN'!F9/1000000000</f>
        <v>0</v>
      </c>
      <c r="D5" s="703"/>
      <c r="E5" s="355" t="s">
        <v>111</v>
      </c>
      <c r="G5" s="358"/>
      <c r="H5" s="359"/>
      <c r="I5" s="359"/>
      <c r="J5" s="359"/>
      <c r="K5" s="359"/>
      <c r="L5" s="360"/>
      <c r="M5" s="361"/>
      <c r="O5" s="362" t="s">
        <v>446</v>
      </c>
    </row>
    <row r="6" spans="7:13" ht="18.75">
      <c r="G6" s="358"/>
      <c r="H6" s="363"/>
      <c r="I6" s="363"/>
      <c r="J6" s="363"/>
      <c r="K6" s="363"/>
      <c r="L6" s="363"/>
      <c r="M6" s="364"/>
    </row>
    <row r="7" spans="1:15" ht="20.25">
      <c r="A7" s="698" t="s">
        <v>1201</v>
      </c>
      <c r="B7" s="698"/>
      <c r="C7" s="703">
        <f>('TM IN'!F12+'TM IN'!F13)/1000000000</f>
        <v>0.10909090909090909</v>
      </c>
      <c r="D7" s="703"/>
      <c r="E7" s="355" t="s">
        <v>111</v>
      </c>
      <c r="G7" s="700"/>
      <c r="H7" s="700"/>
      <c r="I7" s="700"/>
      <c r="J7" s="700"/>
      <c r="K7" s="365"/>
      <c r="L7" s="365"/>
      <c r="O7" s="366"/>
    </row>
    <row r="8" spans="1:7" ht="15">
      <c r="A8" s="701" t="s">
        <v>447</v>
      </c>
      <c r="B8" s="701"/>
      <c r="C8" s="701"/>
      <c r="D8" s="701"/>
      <c r="E8" s="701"/>
      <c r="F8" s="701"/>
      <c r="G8" s="701"/>
    </row>
    <row r="9" spans="11:17" ht="15">
      <c r="K9" s="702"/>
      <c r="L9" s="702"/>
      <c r="M9" s="702"/>
      <c r="N9" s="702"/>
      <c r="O9" s="704" t="s">
        <v>448</v>
      </c>
      <c r="P9" s="704"/>
      <c r="Q9" s="704"/>
    </row>
    <row r="10" spans="1:14" ht="15" hidden="1">
      <c r="A10" s="354" t="s">
        <v>449</v>
      </c>
      <c r="N10" s="354" t="s">
        <v>450</v>
      </c>
    </row>
    <row r="11" spans="1:17" ht="15">
      <c r="A11" s="705" t="s">
        <v>451</v>
      </c>
      <c r="B11" s="705" t="s">
        <v>452</v>
      </c>
      <c r="C11" s="705" t="s">
        <v>453</v>
      </c>
      <c r="D11" s="705"/>
      <c r="E11" s="705"/>
      <c r="F11" s="705"/>
      <c r="G11" s="705"/>
      <c r="H11" s="705"/>
      <c r="I11" s="705"/>
      <c r="J11" s="705"/>
      <c r="K11" s="705"/>
      <c r="L11" s="705"/>
      <c r="M11" s="705"/>
      <c r="N11" s="705"/>
      <c r="O11" s="367" t="s">
        <v>454</v>
      </c>
      <c r="P11" s="368" t="s">
        <v>455</v>
      </c>
      <c r="Q11" s="369" t="s">
        <v>456</v>
      </c>
    </row>
    <row r="12" spans="1:17" ht="15">
      <c r="A12" s="705"/>
      <c r="B12" s="705"/>
      <c r="C12" s="370" t="s">
        <v>457</v>
      </c>
      <c r="D12" s="370">
        <v>20</v>
      </c>
      <c r="E12" s="370">
        <v>50</v>
      </c>
      <c r="F12" s="370">
        <v>100</v>
      </c>
      <c r="G12" s="370">
        <v>200</v>
      </c>
      <c r="H12" s="370">
        <v>500</v>
      </c>
      <c r="I12" s="371">
        <v>1000</v>
      </c>
      <c r="J12" s="371">
        <v>2000</v>
      </c>
      <c r="K12" s="371">
        <v>5000</v>
      </c>
      <c r="L12" s="371">
        <v>10000</v>
      </c>
      <c r="M12" s="371">
        <v>20000</v>
      </c>
      <c r="N12" s="371">
        <v>30000</v>
      </c>
      <c r="O12" s="367">
        <f>$C$4+$C$5</f>
        <v>10.15604759</v>
      </c>
      <c r="P12" s="368">
        <f>IF(O12&lt;D12,10,IF(O12&gt;N12,N12,HLOOKUP(O12,D12:N12,1)))</f>
        <v>10</v>
      </c>
      <c r="Q12" s="369">
        <f>IF(O12&lt;10,10,IF(O12&lt;20,20,IF(O12&gt;N12,N12,INDEX(D12:N12,MATCH(O12,D12:N12,1)+1))))</f>
        <v>20</v>
      </c>
    </row>
    <row r="13" spans="1:17" ht="15">
      <c r="A13" s="372">
        <v>1</v>
      </c>
      <c r="B13" s="373" t="s">
        <v>458</v>
      </c>
      <c r="C13" s="374">
        <v>3.282</v>
      </c>
      <c r="D13" s="374">
        <v>2.784</v>
      </c>
      <c r="E13" s="374">
        <v>2.486</v>
      </c>
      <c r="F13" s="374">
        <v>1.921</v>
      </c>
      <c r="G13" s="374">
        <v>1.796</v>
      </c>
      <c r="H13" s="374">
        <v>1.442</v>
      </c>
      <c r="I13" s="374" t="s">
        <v>459</v>
      </c>
      <c r="J13" s="374" t="s">
        <v>460</v>
      </c>
      <c r="K13" s="374" t="s">
        <v>461</v>
      </c>
      <c r="L13" s="374" t="s">
        <v>462</v>
      </c>
      <c r="M13" s="374" t="s">
        <v>463</v>
      </c>
      <c r="N13" s="374" t="s">
        <v>464</v>
      </c>
      <c r="O13" s="375">
        <f>IF(Q$12=P$12,P13,ROUND(P13-((P13-Q13)/(Q$12-P$12))*(O$12-P$12),3))</f>
        <v>3.274</v>
      </c>
      <c r="P13" s="376">
        <f>IF(P$12=10,C13,HLOOKUP($P$12,$D$12:$N$17,2,TRUE))</f>
        <v>3.282</v>
      </c>
      <c r="Q13" s="377">
        <f>IF(Q$12=10,C13,HLOOKUP($Q$12,$D$12:$N$17,2,TRUE))</f>
        <v>2.784</v>
      </c>
    </row>
    <row r="14" spans="1:17" ht="15">
      <c r="A14" s="372">
        <v>2</v>
      </c>
      <c r="B14" s="373" t="s">
        <v>465</v>
      </c>
      <c r="C14" s="374">
        <v>3.453</v>
      </c>
      <c r="D14" s="374">
        <v>2.93</v>
      </c>
      <c r="E14" s="374">
        <v>2.616</v>
      </c>
      <c r="F14" s="374">
        <v>2.021</v>
      </c>
      <c r="G14" s="374">
        <v>1.89</v>
      </c>
      <c r="H14" s="374">
        <v>1.518</v>
      </c>
      <c r="I14" s="374" t="s">
        <v>466</v>
      </c>
      <c r="J14" s="374" t="s">
        <v>467</v>
      </c>
      <c r="K14" s="374" t="s">
        <v>468</v>
      </c>
      <c r="L14" s="374" t="s">
        <v>469</v>
      </c>
      <c r="M14" s="374" t="s">
        <v>470</v>
      </c>
      <c r="N14" s="374" t="s">
        <v>471</v>
      </c>
      <c r="O14" s="375">
        <f>IF(Q$12=P$12,P14,ROUND(P14-((P14-Q14)/(Q$12-P$12))*(O$12-P$12),3))</f>
        <v>3.445</v>
      </c>
      <c r="P14" s="376">
        <f>IF(P$12=10,C14,HLOOKUP($P$12,$D$12:$N$17,3,TRUE))</f>
        <v>3.453</v>
      </c>
      <c r="Q14" s="377">
        <f>IF(Q$12=10,C14,HLOOKUP($Q$12,$D$12:$N$17,3,TRUE))</f>
        <v>2.93</v>
      </c>
    </row>
    <row r="15" spans="1:17" ht="15">
      <c r="A15" s="372">
        <v>3</v>
      </c>
      <c r="B15" s="373" t="s">
        <v>472</v>
      </c>
      <c r="C15" s="374">
        <v>2.936</v>
      </c>
      <c r="D15" s="374">
        <v>2.491</v>
      </c>
      <c r="E15" s="374">
        <v>2.225</v>
      </c>
      <c r="F15" s="374">
        <v>1.719</v>
      </c>
      <c r="G15" s="374">
        <v>1.607</v>
      </c>
      <c r="H15" s="374">
        <v>1.29</v>
      </c>
      <c r="I15" s="374" t="s">
        <v>473</v>
      </c>
      <c r="J15" s="374" t="s">
        <v>474</v>
      </c>
      <c r="K15" s="374" t="s">
        <v>475</v>
      </c>
      <c r="L15" s="374" t="s">
        <v>476</v>
      </c>
      <c r="M15" s="374" t="s">
        <v>477</v>
      </c>
      <c r="N15" s="374" t="s">
        <v>478</v>
      </c>
      <c r="O15" s="375">
        <f>IF(Q$12=P$12,P15,ROUND(P15-((P15-Q15)/(Q$12-P$12))*(O$12-P$12),3))</f>
        <v>2.929</v>
      </c>
      <c r="P15" s="376">
        <f>IF(P$12=10,C15,HLOOKUP($P$12,$D$12:$N$17,4,TRUE))</f>
        <v>2.936</v>
      </c>
      <c r="Q15" s="377">
        <f>IF(Q$12=10,C15,HLOOKUP($Q$12,$D$12:$N$17,4,TRUE))</f>
        <v>2.491</v>
      </c>
    </row>
    <row r="16" spans="1:17" ht="15">
      <c r="A16" s="372">
        <v>4</v>
      </c>
      <c r="B16" s="373" t="s">
        <v>479</v>
      </c>
      <c r="C16" s="374">
        <v>3.108</v>
      </c>
      <c r="D16" s="374">
        <v>2.637</v>
      </c>
      <c r="E16" s="374">
        <v>2.355</v>
      </c>
      <c r="F16" s="374">
        <v>1.819</v>
      </c>
      <c r="G16" s="374">
        <v>1.701</v>
      </c>
      <c r="H16" s="374">
        <v>1.366</v>
      </c>
      <c r="I16" s="374" t="s">
        <v>480</v>
      </c>
      <c r="J16" s="374" t="s">
        <v>481</v>
      </c>
      <c r="K16" s="374" t="s">
        <v>482</v>
      </c>
      <c r="L16" s="374" t="s">
        <v>483</v>
      </c>
      <c r="M16" s="374" t="s">
        <v>484</v>
      </c>
      <c r="N16" s="374" t="s">
        <v>485</v>
      </c>
      <c r="O16" s="375">
        <f>IF(Q$12=P$12,P16,ROUND(P16-((P16-Q16)/(Q$12-P$12))*(O$12-P$12),3))</f>
        <v>3.101</v>
      </c>
      <c r="P16" s="376">
        <f>IF(P$12=10,C16,HLOOKUP($P$12,$D$12:$N$17,5,TRUE))</f>
        <v>3.108</v>
      </c>
      <c r="Q16" s="377">
        <f>IF(Q$12=10,C16,HLOOKUP($Q$12,$D$12:$N$17,5,TRUE))</f>
        <v>2.637</v>
      </c>
    </row>
    <row r="17" spans="1:17" ht="15">
      <c r="A17" s="372">
        <v>5</v>
      </c>
      <c r="B17" s="373" t="s">
        <v>486</v>
      </c>
      <c r="C17" s="374">
        <v>2.763</v>
      </c>
      <c r="D17" s="374">
        <v>2.344</v>
      </c>
      <c r="E17" s="374">
        <v>2.093</v>
      </c>
      <c r="F17" s="374">
        <v>1.517</v>
      </c>
      <c r="G17" s="374">
        <v>1.486</v>
      </c>
      <c r="H17" s="374">
        <v>1.214</v>
      </c>
      <c r="I17" s="374" t="s">
        <v>487</v>
      </c>
      <c r="J17" s="374" t="s">
        <v>488</v>
      </c>
      <c r="K17" s="374" t="s">
        <v>489</v>
      </c>
      <c r="L17" s="374" t="s">
        <v>490</v>
      </c>
      <c r="M17" s="374" t="s">
        <v>491</v>
      </c>
      <c r="N17" s="374" t="s">
        <v>492</v>
      </c>
      <c r="O17" s="375">
        <f>IF(Q$12=P$12,P17,ROUND(P17-((P17-Q17)/(Q$12-P$12))*(O$12-P$12),3))</f>
        <v>2.756</v>
      </c>
      <c r="P17" s="376">
        <f>IF(P$12=10,C17,HLOOKUP($P$12,$D$12:$N$17,6,TRUE))</f>
        <v>2.763</v>
      </c>
      <c r="Q17" s="377">
        <f>IF(Q$12=10,C17,HLOOKUP($Q$12,$D$12:$N$17,6,TRUE))</f>
        <v>2.344</v>
      </c>
    </row>
    <row r="18" spans="1:17" ht="15" hidden="1">
      <c r="A18" s="354" t="s">
        <v>493</v>
      </c>
      <c r="Q18" s="378"/>
    </row>
    <row r="19" ht="15"/>
    <row r="20" spans="1:7" ht="15">
      <c r="A20" s="701" t="s">
        <v>494</v>
      </c>
      <c r="B20" s="701"/>
      <c r="C20" s="701"/>
      <c r="D20" s="701"/>
      <c r="E20" s="701"/>
      <c r="F20" s="701"/>
      <c r="G20" s="701"/>
    </row>
    <row r="21" spans="11:14" ht="15">
      <c r="K21" s="702" t="s">
        <v>448</v>
      </c>
      <c r="L21" s="702"/>
      <c r="M21" s="702"/>
      <c r="N21" s="702"/>
    </row>
    <row r="22" spans="1:14" ht="15" hidden="1">
      <c r="A22" s="354" t="s">
        <v>495</v>
      </c>
      <c r="N22" s="354" t="s">
        <v>450</v>
      </c>
    </row>
    <row r="23" spans="1:17" ht="15">
      <c r="A23" s="705" t="s">
        <v>451</v>
      </c>
      <c r="B23" s="705" t="s">
        <v>452</v>
      </c>
      <c r="C23" s="705" t="s">
        <v>453</v>
      </c>
      <c r="D23" s="705"/>
      <c r="E23" s="705"/>
      <c r="F23" s="705"/>
      <c r="G23" s="705"/>
      <c r="H23" s="705"/>
      <c r="I23" s="705"/>
      <c r="J23" s="705"/>
      <c r="K23" s="705"/>
      <c r="L23" s="705"/>
      <c r="M23" s="705"/>
      <c r="N23" s="705"/>
      <c r="O23" s="367" t="s">
        <v>454</v>
      </c>
      <c r="P23" s="368" t="s">
        <v>455</v>
      </c>
      <c r="Q23" s="369" t="s">
        <v>456</v>
      </c>
    </row>
    <row r="24" spans="1:17" ht="15">
      <c r="A24" s="705"/>
      <c r="B24" s="705"/>
      <c r="C24" s="370" t="s">
        <v>496</v>
      </c>
      <c r="D24" s="370">
        <v>20</v>
      </c>
      <c r="E24" s="370">
        <v>50</v>
      </c>
      <c r="F24" s="370">
        <v>100</v>
      </c>
      <c r="G24" s="370">
        <v>200</v>
      </c>
      <c r="H24" s="370">
        <v>500</v>
      </c>
      <c r="I24" s="371">
        <v>1000</v>
      </c>
      <c r="J24" s="371">
        <v>2000</v>
      </c>
      <c r="K24" s="371">
        <v>5000</v>
      </c>
      <c r="L24" s="371">
        <v>10000</v>
      </c>
      <c r="M24" s="371">
        <v>20000</v>
      </c>
      <c r="N24" s="371">
        <v>30000</v>
      </c>
      <c r="O24" s="367">
        <f>$C$4+$C$5</f>
        <v>10.15604759</v>
      </c>
      <c r="P24" s="368">
        <f>IF(O24&lt;D24,15,IF(O24&gt;N24,N24,HLOOKUP(O24,D24:N24,1)))</f>
        <v>15</v>
      </c>
      <c r="Q24" s="369">
        <f>IF(O24&lt;15,15,IF(O24&lt;20,20,IF(O24&gt;N24,N24,INDEX(D24:N24,MATCH(O24,D24:N24,1)+1))))</f>
        <v>15</v>
      </c>
    </row>
    <row r="25" spans="1:17" ht="15">
      <c r="A25" s="372">
        <v>1</v>
      </c>
      <c r="B25" s="373" t="s">
        <v>458</v>
      </c>
      <c r="C25" s="374">
        <v>0.668</v>
      </c>
      <c r="D25" s="374" t="s">
        <v>497</v>
      </c>
      <c r="E25" s="374" t="s">
        <v>498</v>
      </c>
      <c r="F25" s="374" t="s">
        <v>499</v>
      </c>
      <c r="G25" s="374" t="s">
        <v>500</v>
      </c>
      <c r="H25" s="374" t="s">
        <v>501</v>
      </c>
      <c r="I25" s="374" t="s">
        <v>502</v>
      </c>
      <c r="J25" s="374" t="s">
        <v>503</v>
      </c>
      <c r="K25" s="374" t="s">
        <v>504</v>
      </c>
      <c r="L25" s="374" t="s">
        <v>505</v>
      </c>
      <c r="M25" s="374" t="s">
        <v>506</v>
      </c>
      <c r="N25" s="374" t="s">
        <v>507</v>
      </c>
      <c r="O25" s="379">
        <f>IF(Q$24=P$24,P25,ROUND(P25-((P25-Q25)/(Q$24-P$24))*(O$24-P$24),3))</f>
        <v>0.668</v>
      </c>
      <c r="P25" s="376">
        <f>IF(P$24=0,0,IF(P$24=15,C25,HLOOKUP($P$24,$D$24:$N$29,2,TRUE)))</f>
        <v>0.668</v>
      </c>
      <c r="Q25" s="377">
        <f>IF(Q$24=0,0,IF(Q$24=15,C25,HLOOKUP($Q$24,$D$24:$N$29,2,TRUE)))</f>
        <v>0.668</v>
      </c>
    </row>
    <row r="26" spans="1:17" ht="15">
      <c r="A26" s="372">
        <v>2</v>
      </c>
      <c r="B26" s="373" t="s">
        <v>465</v>
      </c>
      <c r="C26" s="374">
        <v>0.757</v>
      </c>
      <c r="D26" s="374" t="s">
        <v>508</v>
      </c>
      <c r="E26" s="374" t="s">
        <v>509</v>
      </c>
      <c r="F26" s="374" t="s">
        <v>510</v>
      </c>
      <c r="G26" s="374" t="s">
        <v>511</v>
      </c>
      <c r="H26" s="374" t="s">
        <v>512</v>
      </c>
      <c r="I26" s="374" t="s">
        <v>513</v>
      </c>
      <c r="J26" s="374" t="s">
        <v>514</v>
      </c>
      <c r="K26" s="374" t="s">
        <v>515</v>
      </c>
      <c r="L26" s="374" t="s">
        <v>516</v>
      </c>
      <c r="M26" s="374" t="s">
        <v>517</v>
      </c>
      <c r="N26" s="374" t="s">
        <v>518</v>
      </c>
      <c r="O26" s="379">
        <f>IF(Q$24=P$24,P26,ROUND(P26-((P26-Q26)/(Q$24-P$24))*(O$24-P$24),3))</f>
        <v>0.757</v>
      </c>
      <c r="P26" s="376">
        <f>IF(P$24=0,0,IF(P$24=15,C26,HLOOKUP($P$24,$D$24:$N$29,3,TRUE)))</f>
        <v>0.757</v>
      </c>
      <c r="Q26" s="377">
        <f>IF(Q$24=0,0,IF(Q$24=15,C26,HLOOKUP($Q$24,$D$24:$N$29,3,TRUE)))</f>
        <v>0.757</v>
      </c>
    </row>
    <row r="27" spans="1:17" ht="15">
      <c r="A27" s="372">
        <v>3</v>
      </c>
      <c r="B27" s="373" t="s">
        <v>472</v>
      </c>
      <c r="C27" s="374">
        <v>0.413</v>
      </c>
      <c r="D27" s="374" t="s">
        <v>519</v>
      </c>
      <c r="E27" s="374" t="s">
        <v>520</v>
      </c>
      <c r="F27" s="374" t="s">
        <v>521</v>
      </c>
      <c r="G27" s="374" t="s">
        <v>522</v>
      </c>
      <c r="H27" s="374" t="s">
        <v>523</v>
      </c>
      <c r="I27" s="374" t="s">
        <v>524</v>
      </c>
      <c r="J27" s="374" t="s">
        <v>525</v>
      </c>
      <c r="K27" s="374" t="s">
        <v>526</v>
      </c>
      <c r="L27" s="374" t="s">
        <v>527</v>
      </c>
      <c r="M27" s="374" t="s">
        <v>528</v>
      </c>
      <c r="N27" s="374" t="s">
        <v>529</v>
      </c>
      <c r="O27" s="379">
        <f>IF(Q$24=P$24,P27,ROUND(P27-((P27-Q27)/(Q$24-P$24))*(O$24-P$24),3))</f>
        <v>0.413</v>
      </c>
      <c r="P27" s="376">
        <f>IF(P$24=0,0,IF(P$24=15,C27,HLOOKUP($P$24,$D$24:$N$29,4,TRUE)))</f>
        <v>0.413</v>
      </c>
      <c r="Q27" s="377">
        <f>IF(Q$24=0,0,IF(Q$24=15,C27,HLOOKUP($Q$24,$D$24:$N$29,4,TRUE)))</f>
        <v>0.413</v>
      </c>
    </row>
    <row r="28" spans="1:17" ht="15">
      <c r="A28" s="372">
        <v>4</v>
      </c>
      <c r="B28" s="373" t="s">
        <v>479</v>
      </c>
      <c r="C28" s="374" t="s">
        <v>530</v>
      </c>
      <c r="D28" s="374" t="s">
        <v>531</v>
      </c>
      <c r="E28" s="374" t="s">
        <v>532</v>
      </c>
      <c r="F28" s="374" t="s">
        <v>533</v>
      </c>
      <c r="G28" s="374" t="s">
        <v>534</v>
      </c>
      <c r="H28" s="374" t="s">
        <v>535</v>
      </c>
      <c r="I28" s="374" t="s">
        <v>536</v>
      </c>
      <c r="J28" s="374" t="s">
        <v>537</v>
      </c>
      <c r="K28" s="374" t="s">
        <v>538</v>
      </c>
      <c r="L28" s="374" t="s">
        <v>539</v>
      </c>
      <c r="M28" s="374" t="s">
        <v>540</v>
      </c>
      <c r="N28" s="374" t="s">
        <v>541</v>
      </c>
      <c r="O28" s="379" t="str">
        <f>IF(Q$24=P$24,P28,ROUND(P28-((P28-Q28)/(Q$24-P$24))*(O$24-P$24),3))</f>
        <v>0,566</v>
      </c>
      <c r="P28" s="376" t="str">
        <f>IF(P$24=0,0,IF(P$24=15,C28,HLOOKUP($P$24,$D$24:$N$29,5,TRUE)))</f>
        <v>0,566</v>
      </c>
      <c r="Q28" s="377" t="str">
        <f>IF(Q$24=0,0,IF(Q$24=15,C28,HLOOKUP($Q$24,$D$24:$N$29,5,TRUE)))</f>
        <v>0,566</v>
      </c>
    </row>
    <row r="29" spans="1:17" ht="15">
      <c r="A29" s="372">
        <v>5</v>
      </c>
      <c r="B29" s="373" t="s">
        <v>486</v>
      </c>
      <c r="C29" s="374" t="s">
        <v>542</v>
      </c>
      <c r="D29" s="374" t="s">
        <v>543</v>
      </c>
      <c r="E29" s="374" t="s">
        <v>544</v>
      </c>
      <c r="F29" s="374" t="s">
        <v>545</v>
      </c>
      <c r="G29" s="374" t="s">
        <v>546</v>
      </c>
      <c r="H29" s="374" t="s">
        <v>515</v>
      </c>
      <c r="I29" s="374" t="s">
        <v>547</v>
      </c>
      <c r="J29" s="374" t="s">
        <v>548</v>
      </c>
      <c r="K29" s="374" t="s">
        <v>549</v>
      </c>
      <c r="L29" s="374" t="s">
        <v>550</v>
      </c>
      <c r="M29" s="374" t="s">
        <v>551</v>
      </c>
      <c r="N29" s="374" t="s">
        <v>552</v>
      </c>
      <c r="O29" s="379" t="str">
        <f>IF(Q$24=P$24,P29,ROUND(P29-((P29-Q29)/(Q$24-P$24))*(O$24-P$24),3))</f>
        <v>0,431</v>
      </c>
      <c r="P29" s="376" t="str">
        <f>IF(P$24=0,0,IF(P$24=15,C29,HLOOKUP($P$24,$D$24:$N$29,6,TRUE)))</f>
        <v>0,431</v>
      </c>
      <c r="Q29" s="377" t="str">
        <f>IF(Q$24=0,0,IF(Q$24=15,C29,HLOOKUP($Q$24,$D$24:$N$29,6,TRUE)))</f>
        <v>0,431</v>
      </c>
    </row>
    <row r="30" spans="1:17" ht="15" hidden="1">
      <c r="A30" s="354" t="s">
        <v>553</v>
      </c>
      <c r="Q30" s="377"/>
    </row>
    <row r="31" ht="15">
      <c r="Q31" s="380"/>
    </row>
    <row r="32" spans="1:7" ht="15">
      <c r="A32" s="701" t="s">
        <v>554</v>
      </c>
      <c r="B32" s="701"/>
      <c r="C32" s="701"/>
      <c r="D32" s="701"/>
      <c r="E32" s="701"/>
      <c r="F32" s="701"/>
      <c r="G32" s="701"/>
    </row>
    <row r="33" spans="11:14" ht="15">
      <c r="K33" s="702" t="s">
        <v>448</v>
      </c>
      <c r="L33" s="702"/>
      <c r="M33" s="702"/>
      <c r="N33" s="702"/>
    </row>
    <row r="34" spans="1:14" ht="15" hidden="1">
      <c r="A34" s="354" t="s">
        <v>555</v>
      </c>
      <c r="N34" s="354" t="s">
        <v>450</v>
      </c>
    </row>
    <row r="35" spans="1:17" ht="15">
      <c r="A35" s="705" t="s">
        <v>451</v>
      </c>
      <c r="B35" s="705" t="s">
        <v>452</v>
      </c>
      <c r="C35" s="705" t="s">
        <v>453</v>
      </c>
      <c r="D35" s="705"/>
      <c r="E35" s="705"/>
      <c r="F35" s="705"/>
      <c r="G35" s="705"/>
      <c r="H35" s="705"/>
      <c r="I35" s="705"/>
      <c r="J35" s="705"/>
      <c r="K35" s="705"/>
      <c r="L35" s="705"/>
      <c r="M35" s="705"/>
      <c r="N35" s="705"/>
      <c r="O35" s="367" t="s">
        <v>454</v>
      </c>
      <c r="P35" s="368" t="s">
        <v>455</v>
      </c>
      <c r="Q35" s="369" t="s">
        <v>456</v>
      </c>
    </row>
    <row r="36" spans="1:17" ht="15">
      <c r="A36" s="705"/>
      <c r="B36" s="705"/>
      <c r="C36" s="370" t="s">
        <v>496</v>
      </c>
      <c r="D36" s="370">
        <v>20</v>
      </c>
      <c r="E36" s="370">
        <v>50</v>
      </c>
      <c r="F36" s="370">
        <v>100</v>
      </c>
      <c r="G36" s="370">
        <v>200</v>
      </c>
      <c r="H36" s="370">
        <v>500</v>
      </c>
      <c r="I36" s="371">
        <v>1000</v>
      </c>
      <c r="J36" s="371">
        <v>2000</v>
      </c>
      <c r="K36" s="371">
        <v>5000</v>
      </c>
      <c r="L36" s="371">
        <v>10000</v>
      </c>
      <c r="M36" s="371">
        <v>20000</v>
      </c>
      <c r="N36" s="371">
        <v>30000</v>
      </c>
      <c r="O36" s="367">
        <f>$C$4+$C$5</f>
        <v>10.15604759</v>
      </c>
      <c r="P36" s="368">
        <f>IF(O36&lt;D36,15,IF(O36&gt;N36,N36,HLOOKUP(O36,D36:N36,1)))</f>
        <v>15</v>
      </c>
      <c r="Q36" s="369">
        <f>IF(O36&lt;15,15,IF(O36&lt;20,20,IF(O36&gt;N36,N36,INDEX(D36:N36,MATCH(O36,D36:N36,1)+1))))</f>
        <v>15</v>
      </c>
    </row>
    <row r="37" spans="1:17" ht="15">
      <c r="A37" s="372">
        <v>1</v>
      </c>
      <c r="B37" s="373" t="s">
        <v>458</v>
      </c>
      <c r="C37" s="374" t="s">
        <v>556</v>
      </c>
      <c r="D37" s="374" t="s">
        <v>557</v>
      </c>
      <c r="E37" s="374" t="s">
        <v>558</v>
      </c>
      <c r="F37" s="374" t="s">
        <v>559</v>
      </c>
      <c r="G37" s="374" t="s">
        <v>560</v>
      </c>
      <c r="H37" s="374" t="s">
        <v>561</v>
      </c>
      <c r="I37" s="374" t="s">
        <v>562</v>
      </c>
      <c r="J37" s="374" t="s">
        <v>563</v>
      </c>
      <c r="K37" s="374" t="s">
        <v>564</v>
      </c>
      <c r="L37" s="374" t="s">
        <v>565</v>
      </c>
      <c r="M37" s="374" t="s">
        <v>566</v>
      </c>
      <c r="N37" s="374" t="s">
        <v>502</v>
      </c>
      <c r="O37" s="379" t="str">
        <f>IF(Q$36=P$36,P37,ROUND(P37-((P37-Q37)/(Q$36-P$36))*(O$36-P$36),3))</f>
        <v>1,114</v>
      </c>
      <c r="P37" s="376" t="str">
        <f>IF(P$36=0,0,IF(P$36=15,C37,HLOOKUP($P$36,$D$36:$N$41,2,TRUE)))</f>
        <v>1,114</v>
      </c>
      <c r="Q37" s="377" t="str">
        <f>IF(Q$36=0,0,IF(Q$36=15,C37,HLOOKUP($Q$36,$D$36:$N$41,2,TRUE)))</f>
        <v>1,114</v>
      </c>
    </row>
    <row r="38" spans="1:17" ht="15">
      <c r="A38" s="372">
        <v>2</v>
      </c>
      <c r="B38" s="373" t="s">
        <v>465</v>
      </c>
      <c r="C38" s="374" t="s">
        <v>567</v>
      </c>
      <c r="D38" s="374" t="s">
        <v>568</v>
      </c>
      <c r="E38" s="374" t="s">
        <v>569</v>
      </c>
      <c r="F38" s="374" t="s">
        <v>570</v>
      </c>
      <c r="G38" s="374" t="s">
        <v>571</v>
      </c>
      <c r="H38" s="374" t="s">
        <v>572</v>
      </c>
      <c r="I38" s="374" t="s">
        <v>573</v>
      </c>
      <c r="J38" s="374" t="s">
        <v>574</v>
      </c>
      <c r="K38" s="374" t="s">
        <v>575</v>
      </c>
      <c r="L38" s="374" t="s">
        <v>576</v>
      </c>
      <c r="M38" s="374" t="s">
        <v>577</v>
      </c>
      <c r="N38" s="374" t="s">
        <v>578</v>
      </c>
      <c r="O38" s="379" t="str">
        <f>IF(Q$36=P$36,P38,ROUND(P38-((P38-Q38)/(Q$36-P$36))*(O$36-P$36),3))</f>
        <v>1,261</v>
      </c>
      <c r="P38" s="376" t="str">
        <f>IF(P$36=0,0,IF(P$36=15,C38,HLOOKUP($P$36,$D$36:$N$41,3,TRUE)))</f>
        <v>1,261</v>
      </c>
      <c r="Q38" s="377" t="str">
        <f>IF(Q$36=0,0,IF(Q$36=15,C38,HLOOKUP($Q$36,$D$36:$N$41,3,TRUE)))</f>
        <v>1,261</v>
      </c>
    </row>
    <row r="39" spans="1:17" ht="15">
      <c r="A39" s="372">
        <v>3</v>
      </c>
      <c r="B39" s="373" t="s">
        <v>472</v>
      </c>
      <c r="C39" s="374" t="s">
        <v>579</v>
      </c>
      <c r="D39" s="374" t="s">
        <v>580</v>
      </c>
      <c r="E39" s="374" t="s">
        <v>581</v>
      </c>
      <c r="F39" s="374" t="s">
        <v>582</v>
      </c>
      <c r="G39" s="374" t="s">
        <v>583</v>
      </c>
      <c r="H39" s="374" t="s">
        <v>584</v>
      </c>
      <c r="I39" s="374" t="s">
        <v>521</v>
      </c>
      <c r="J39" s="374" t="s">
        <v>585</v>
      </c>
      <c r="K39" s="374" t="s">
        <v>586</v>
      </c>
      <c r="L39" s="374" t="s">
        <v>587</v>
      </c>
      <c r="M39" s="374" t="s">
        <v>588</v>
      </c>
      <c r="N39" s="374" t="s">
        <v>589</v>
      </c>
      <c r="O39" s="379" t="str">
        <f>IF(Q$36=P$36,P39,ROUND(P39-((P39-Q39)/(Q$36-P$36))*(O$36-P$36),3))</f>
        <v>0,689</v>
      </c>
      <c r="P39" s="376" t="str">
        <f>IF(P$36=0,0,IF(P$36=15,C39,HLOOKUP($P$36,$D$36:$N$41,4,TRUE)))</f>
        <v>0,689</v>
      </c>
      <c r="Q39" s="377" t="str">
        <f>IF(Q$36=0,0,IF(Q$36=15,C39,HLOOKUP($Q$36,$D$36:$N$41,4,TRUE)))</f>
        <v>0,689</v>
      </c>
    </row>
    <row r="40" spans="1:17" ht="15">
      <c r="A40" s="372">
        <v>4</v>
      </c>
      <c r="B40" s="373" t="s">
        <v>479</v>
      </c>
      <c r="C40" s="374" t="s">
        <v>590</v>
      </c>
      <c r="D40" s="374" t="s">
        <v>591</v>
      </c>
      <c r="E40" s="374" t="s">
        <v>592</v>
      </c>
      <c r="F40" s="374" t="s">
        <v>593</v>
      </c>
      <c r="G40" s="374" t="s">
        <v>594</v>
      </c>
      <c r="H40" s="374" t="s">
        <v>595</v>
      </c>
      <c r="I40" s="374" t="s">
        <v>596</v>
      </c>
      <c r="J40" s="374" t="s">
        <v>597</v>
      </c>
      <c r="K40" s="374" t="s">
        <v>500</v>
      </c>
      <c r="L40" s="374" t="s">
        <v>598</v>
      </c>
      <c r="M40" s="374" t="s">
        <v>501</v>
      </c>
      <c r="N40" s="374" t="s">
        <v>599</v>
      </c>
      <c r="O40" s="379" t="str">
        <f>IF(Q$36=P$36,P40,ROUND(P40-((P40-Q40)/(Q$36-P$36))*(O$36-P$36),3))</f>
        <v>0,943</v>
      </c>
      <c r="P40" s="376" t="str">
        <f>IF(P$36=0,0,IF(P$36=15,C40,HLOOKUP($P$36,$D$36:$N$41,5,TRUE)))</f>
        <v>0,943</v>
      </c>
      <c r="Q40" s="377" t="str">
        <f>IF(Q$36=0,0,IF(Q$36=15,C40,HLOOKUP($Q$36,$D$36:$N$41,5,TRUE)))</f>
        <v>0,943</v>
      </c>
    </row>
    <row r="41" spans="1:17" ht="15">
      <c r="A41" s="372">
        <v>5</v>
      </c>
      <c r="B41" s="373" t="s">
        <v>486</v>
      </c>
      <c r="C41" s="374" t="s">
        <v>600</v>
      </c>
      <c r="D41" s="374" t="s">
        <v>570</v>
      </c>
      <c r="E41" s="374" t="s">
        <v>601</v>
      </c>
      <c r="F41" s="374" t="s">
        <v>602</v>
      </c>
      <c r="G41" s="374" t="s">
        <v>603</v>
      </c>
      <c r="H41" s="374" t="s">
        <v>604</v>
      </c>
      <c r="I41" s="374" t="s">
        <v>605</v>
      </c>
      <c r="J41" s="374" t="s">
        <v>606</v>
      </c>
      <c r="K41" s="374" t="s">
        <v>607</v>
      </c>
      <c r="L41" s="374" t="s">
        <v>608</v>
      </c>
      <c r="M41" s="374" t="s">
        <v>609</v>
      </c>
      <c r="N41" s="374" t="s">
        <v>547</v>
      </c>
      <c r="O41" s="379" t="str">
        <f>IF(Q$36=P$36,P41,ROUND(P41-((P41-Q41)/(Q$36-P$36))*(O$36-P$36),3))</f>
        <v>0,719</v>
      </c>
      <c r="P41" s="376" t="str">
        <f>IF(P$36=0,0,IF(P$36=15,C41,HLOOKUP($P$36,$D$36:$N$41,6,TRUE)))</f>
        <v>0,719</v>
      </c>
      <c r="Q41" s="377" t="str">
        <f>IF(Q$36=0,0,IF(Q$36=15,C41,HLOOKUP($Q$36,$D$36:$N$41,6,TRUE)))</f>
        <v>0,719</v>
      </c>
    </row>
    <row r="42" spans="1:17" ht="15" hidden="1">
      <c r="A42" s="354" t="s">
        <v>610</v>
      </c>
      <c r="Q42" s="377"/>
    </row>
    <row r="43" ht="15"/>
    <row r="44" spans="1:7" ht="15">
      <c r="A44" s="701" t="s">
        <v>611</v>
      </c>
      <c r="B44" s="701"/>
      <c r="C44" s="701"/>
      <c r="D44" s="701"/>
      <c r="E44" s="701"/>
      <c r="F44" s="701"/>
      <c r="G44" s="701"/>
    </row>
    <row r="45" spans="3:6" ht="15">
      <c r="C45" s="702" t="s">
        <v>448</v>
      </c>
      <c r="D45" s="702"/>
      <c r="E45" s="702"/>
      <c r="F45" s="702"/>
    </row>
    <row r="46" spans="1:6" ht="15" hidden="1">
      <c r="A46" s="354" t="s">
        <v>612</v>
      </c>
      <c r="F46" s="354" t="s">
        <v>450</v>
      </c>
    </row>
    <row r="47" spans="1:14" ht="45.75" customHeight="1">
      <c r="A47" s="705" t="s">
        <v>451</v>
      </c>
      <c r="B47" s="705" t="s">
        <v>452</v>
      </c>
      <c r="C47" s="706" t="s">
        <v>453</v>
      </c>
      <c r="D47" s="706"/>
      <c r="E47" s="706"/>
      <c r="F47" s="706"/>
      <c r="G47" s="381" t="s">
        <v>454</v>
      </c>
      <c r="H47" s="368" t="s">
        <v>455</v>
      </c>
      <c r="I47" s="369" t="s">
        <v>456</v>
      </c>
      <c r="J47" s="382"/>
      <c r="K47" s="382"/>
      <c r="L47" s="382"/>
      <c r="M47" s="382"/>
      <c r="N47" s="382"/>
    </row>
    <row r="48" spans="1:9" ht="15">
      <c r="A48" s="705"/>
      <c r="B48" s="705"/>
      <c r="C48" s="370" t="s">
        <v>613</v>
      </c>
      <c r="D48" s="370">
        <v>3</v>
      </c>
      <c r="E48" s="370">
        <v>7</v>
      </c>
      <c r="F48" s="370" t="s">
        <v>614</v>
      </c>
      <c r="G48" s="381">
        <f>$C$4+$C$5</f>
        <v>10.15604759</v>
      </c>
      <c r="H48" s="368">
        <f>IF(G48&lt;D48,1,IF(G48&gt;=15,0,HLOOKUP(G48,D48:E48,1)))</f>
        <v>7</v>
      </c>
      <c r="I48" s="369">
        <f>IF(G48&lt;1,1,IF(G48&lt;3,3,IF(G48&lt;7,7,IF(G48&gt;=15,0,IF(G48&gt;=7,15,0)))))</f>
        <v>15</v>
      </c>
    </row>
    <row r="49" spans="1:9" ht="15">
      <c r="A49" s="372">
        <v>1</v>
      </c>
      <c r="B49" s="373" t="s">
        <v>458</v>
      </c>
      <c r="C49" s="383" t="s">
        <v>615</v>
      </c>
      <c r="D49" s="383" t="s">
        <v>616</v>
      </c>
      <c r="E49" s="383" t="s">
        <v>617</v>
      </c>
      <c r="F49" s="384" t="s">
        <v>618</v>
      </c>
      <c r="G49" s="385">
        <f>IF(I$48=H$48,H49,ROUND(H49-((H49-I49)/(I$48-H$48))*(G$48-H$48),3))</f>
        <v>3.963</v>
      </c>
      <c r="H49" s="386" t="str">
        <f>IF(H$48=1,C49,IF(H$48=3,D49,IF(H$48=7,E49,IF(H$48=15,F49,0))))</f>
        <v>4,2</v>
      </c>
      <c r="I49" s="387" t="str">
        <f>IF(I$48=1,C49,IF(I$48=3,D49,IF(I$48=7,E49,IF(I$48=15,F49,0))))</f>
        <v>3,6</v>
      </c>
    </row>
    <row r="50" spans="1:9" ht="15">
      <c r="A50" s="372">
        <v>2</v>
      </c>
      <c r="B50" s="373" t="s">
        <v>465</v>
      </c>
      <c r="C50" s="383" t="s">
        <v>619</v>
      </c>
      <c r="D50" s="383" t="s">
        <v>620</v>
      </c>
      <c r="E50" s="383" t="s">
        <v>621</v>
      </c>
      <c r="F50" s="384" t="s">
        <v>622</v>
      </c>
      <c r="G50" s="385">
        <f>IF(I$48=H$48,H50,ROUND(H50-((H50-I50)/(I$48-H$48))*(G$48-H$48),3))</f>
        <v>4.103</v>
      </c>
      <c r="H50" s="386" t="str">
        <f>IF(H$48=1,C50,IF(H$48=3,D50,IF(H$48=7,E50,IF(H$48=15,F50,0))))</f>
        <v>4,3</v>
      </c>
      <c r="I50" s="387" t="str">
        <f>IF(I$48=1,C50,IF(I$48=3,D50,IF(I$48=7,E50,IF(I$48=15,F50,0))))</f>
        <v>3,8</v>
      </c>
    </row>
    <row r="51" spans="1:9" ht="15">
      <c r="A51" s="372">
        <v>3</v>
      </c>
      <c r="B51" s="373" t="s">
        <v>472</v>
      </c>
      <c r="C51" s="383" t="s">
        <v>623</v>
      </c>
      <c r="D51" s="383" t="s">
        <v>618</v>
      </c>
      <c r="E51" s="383" t="s">
        <v>624</v>
      </c>
      <c r="F51" s="384" t="s">
        <v>625</v>
      </c>
      <c r="G51" s="385">
        <f>IF(I$48=H$48,H51,ROUND(H51-((H51-I51)/(I$48-H$48))*(G$48-H$48),3))</f>
        <v>2.621</v>
      </c>
      <c r="H51" s="386" t="str">
        <f>IF(H$48=1,C51,IF(H$48=3,D51,IF(H$48=7,E51,IF(H$48=15,F51,0))))</f>
        <v>2,7</v>
      </c>
      <c r="I51" s="387" t="str">
        <f>IF(I$48=1,C51,IF(I$48=3,D51,IF(I$48=7,E51,IF(I$48=15,F51,0))))</f>
        <v>2,5</v>
      </c>
    </row>
    <row r="52" spans="1:9" ht="15">
      <c r="A52" s="372">
        <v>4</v>
      </c>
      <c r="B52" s="373" t="s">
        <v>479</v>
      </c>
      <c r="C52" s="383" t="s">
        <v>626</v>
      </c>
      <c r="D52" s="383" t="s">
        <v>627</v>
      </c>
      <c r="E52" s="383" t="s">
        <v>628</v>
      </c>
      <c r="F52" s="384" t="s">
        <v>618</v>
      </c>
      <c r="G52" s="385">
        <f>IF(I$48=H$48,H52,ROUND(H52-((H52-I52)/(I$48-H$48))*(G$48-H$48),3))</f>
        <v>3.782</v>
      </c>
      <c r="H52" s="386" t="str">
        <f>IF(H$48=1,C52,IF(H$48=3,D52,IF(H$48=7,E52,IF(H$48=15,F52,0))))</f>
        <v>3,9</v>
      </c>
      <c r="I52" s="387" t="str">
        <f>IF(I$48=1,C52,IF(I$48=3,D52,IF(I$48=7,E52,IF(I$48=15,F52,0))))</f>
        <v>3,6</v>
      </c>
    </row>
    <row r="53" spans="1:9" ht="15">
      <c r="A53" s="372">
        <v>5</v>
      </c>
      <c r="B53" s="373" t="s">
        <v>486</v>
      </c>
      <c r="C53" s="383" t="s">
        <v>629</v>
      </c>
      <c r="D53" s="383" t="s">
        <v>617</v>
      </c>
      <c r="E53" s="383" t="s">
        <v>630</v>
      </c>
      <c r="F53" s="384" t="s">
        <v>631</v>
      </c>
      <c r="G53" s="385">
        <f>IF(I$48=H$48,H53,ROUND(H53-((H53-I53)/(I$48-H$48))*(G$48-H$48),3))</f>
        <v>3.242</v>
      </c>
      <c r="H53" s="386" t="str">
        <f>IF(H$48=1,C53,IF(H$48=3,D53,IF(H$48=7,E53,IF(H$48=15,F53,0))))</f>
        <v>3,4</v>
      </c>
      <c r="I53" s="387" t="str">
        <f>IF(I$48=1,C53,IF(I$48=3,D53,IF(I$48=7,E53,IF(I$48=15,F53,0))))</f>
        <v>3,0</v>
      </c>
    </row>
    <row r="54" ht="15" hidden="1">
      <c r="A54" s="354" t="s">
        <v>632</v>
      </c>
    </row>
    <row r="55" ht="15"/>
    <row r="56" spans="1:7" ht="15">
      <c r="A56" s="701" t="s">
        <v>633</v>
      </c>
      <c r="B56" s="701"/>
      <c r="C56" s="701"/>
      <c r="D56" s="701"/>
      <c r="E56" s="701"/>
      <c r="F56" s="701"/>
      <c r="G56" s="701"/>
    </row>
    <row r="57" spans="10:14" ht="15">
      <c r="J57" s="707" t="s">
        <v>448</v>
      </c>
      <c r="K57" s="707"/>
      <c r="L57" s="707"/>
      <c r="M57" s="707"/>
      <c r="N57" s="388"/>
    </row>
    <row r="58" spans="1:13" ht="15" hidden="1">
      <c r="A58" s="354" t="s">
        <v>634</v>
      </c>
      <c r="M58" s="354" t="s">
        <v>450</v>
      </c>
    </row>
    <row r="59" spans="1:16" ht="29.25" customHeight="1">
      <c r="A59" s="705" t="s">
        <v>451</v>
      </c>
      <c r="B59" s="706" t="s">
        <v>635</v>
      </c>
      <c r="C59" s="705" t="s">
        <v>636</v>
      </c>
      <c r="D59" s="705"/>
      <c r="E59" s="705"/>
      <c r="F59" s="705"/>
      <c r="G59" s="705"/>
      <c r="H59" s="705"/>
      <c r="I59" s="705"/>
      <c r="J59" s="705"/>
      <c r="K59" s="705"/>
      <c r="L59" s="705"/>
      <c r="M59" s="705"/>
      <c r="N59" s="381" t="s">
        <v>454</v>
      </c>
      <c r="O59" s="367" t="s">
        <v>455</v>
      </c>
      <c r="P59" s="369" t="s">
        <v>456</v>
      </c>
    </row>
    <row r="60" spans="1:16" ht="15">
      <c r="A60" s="705"/>
      <c r="B60" s="706"/>
      <c r="C60" s="371" t="s">
        <v>457</v>
      </c>
      <c r="D60" s="371">
        <v>20</v>
      </c>
      <c r="E60" s="371">
        <v>50</v>
      </c>
      <c r="F60" s="371" t="s">
        <v>637</v>
      </c>
      <c r="G60" s="370" t="s">
        <v>638</v>
      </c>
      <c r="H60" s="370" t="s">
        <v>639</v>
      </c>
      <c r="I60" s="371" t="s">
        <v>640</v>
      </c>
      <c r="J60" s="371" t="s">
        <v>641</v>
      </c>
      <c r="K60" s="371" t="s">
        <v>642</v>
      </c>
      <c r="L60" s="371" t="s">
        <v>643</v>
      </c>
      <c r="M60" s="371" t="s">
        <v>644</v>
      </c>
      <c r="N60" s="381">
        <f>$C$4</f>
        <v>10.15604759</v>
      </c>
      <c r="O60" s="367">
        <f>IF(N60&lt;D60,10,IF(N60&gt;M60,M60,HLOOKUP(N60,D60:M60,1)))</f>
        <v>10</v>
      </c>
      <c r="P60" s="369">
        <f>IF(N60&lt;10,10,IF(N60&lt;20,20,IF(N60&gt;M60,M60,INDEX(D60:M60,MATCH(N60,D60:M60,1)+1))))</f>
        <v>20</v>
      </c>
    </row>
    <row r="61" spans="1:16" ht="15">
      <c r="A61" s="372">
        <v>1</v>
      </c>
      <c r="B61" s="389" t="s">
        <v>458</v>
      </c>
      <c r="C61" s="390"/>
      <c r="D61" s="390"/>
      <c r="E61" s="390"/>
      <c r="F61" s="390"/>
      <c r="G61" s="390"/>
      <c r="H61" s="390"/>
      <c r="I61" s="390"/>
      <c r="J61" s="390"/>
      <c r="K61" s="390"/>
      <c r="L61" s="390"/>
      <c r="M61" s="391"/>
      <c r="N61" s="373"/>
      <c r="O61" s="392"/>
      <c r="P61" s="373"/>
    </row>
    <row r="62" spans="1:16" ht="15">
      <c r="A62" s="372" t="s">
        <v>645</v>
      </c>
      <c r="B62" s="389" t="s">
        <v>646</v>
      </c>
      <c r="C62" s="390"/>
      <c r="D62" s="390"/>
      <c r="E62" s="390"/>
      <c r="F62" s="390"/>
      <c r="G62" s="390"/>
      <c r="H62" s="390"/>
      <c r="I62" s="390"/>
      <c r="J62" s="390"/>
      <c r="K62" s="390"/>
      <c r="L62" s="390"/>
      <c r="M62" s="391"/>
      <c r="N62" s="374"/>
      <c r="O62" s="392"/>
      <c r="P62" s="373"/>
    </row>
    <row r="63" spans="1:16" ht="15">
      <c r="A63" s="372" t="s">
        <v>647</v>
      </c>
      <c r="B63" s="373" t="s">
        <v>648</v>
      </c>
      <c r="C63" s="383" t="s">
        <v>649</v>
      </c>
      <c r="D63" s="383" t="s">
        <v>650</v>
      </c>
      <c r="E63" s="383" t="s">
        <v>651</v>
      </c>
      <c r="F63" s="383" t="s">
        <v>652</v>
      </c>
      <c r="G63" s="383" t="s">
        <v>653</v>
      </c>
      <c r="H63" s="383" t="s">
        <v>654</v>
      </c>
      <c r="I63" s="383" t="s">
        <v>655</v>
      </c>
      <c r="J63" s="383" t="s">
        <v>656</v>
      </c>
      <c r="K63" s="383" t="s">
        <v>657</v>
      </c>
      <c r="L63" s="383" t="s">
        <v>658</v>
      </c>
      <c r="M63" s="383" t="s">
        <v>659</v>
      </c>
      <c r="N63" s="385">
        <f>IF(P$60=O$60,O63,IF(O63="-",O63,ROUND(O63-((O63-P63)/(P$60-O$60))*(N$60-O$60),3)))</f>
        <v>3.214</v>
      </c>
      <c r="O63" s="393" t="str">
        <f>IF(O$60=10,C63,HLOOKUP($O$60,$D$60:$M$125,4,TRUE))</f>
        <v>3,22</v>
      </c>
      <c r="P63" s="387" t="str">
        <f>IF(P$60=10,C63,HLOOKUP($P$60,$D$60:$M$125,4,TRUE))</f>
        <v>2,81</v>
      </c>
    </row>
    <row r="64" spans="1:16" ht="15">
      <c r="A64" s="372" t="s">
        <v>660</v>
      </c>
      <c r="B64" s="373" t="s">
        <v>661</v>
      </c>
      <c r="C64" s="383" t="s">
        <v>662</v>
      </c>
      <c r="D64" s="383" t="s">
        <v>663</v>
      </c>
      <c r="E64" s="383" t="s">
        <v>664</v>
      </c>
      <c r="F64" s="383" t="s">
        <v>665</v>
      </c>
      <c r="G64" s="383" t="s">
        <v>666</v>
      </c>
      <c r="H64" s="383" t="s">
        <v>667</v>
      </c>
      <c r="I64" s="383" t="s">
        <v>668</v>
      </c>
      <c r="J64" s="383" t="s">
        <v>669</v>
      </c>
      <c r="K64" s="383" t="s">
        <v>670</v>
      </c>
      <c r="L64" s="383" t="s">
        <v>659</v>
      </c>
      <c r="M64" s="383" t="s">
        <v>671</v>
      </c>
      <c r="N64" s="385">
        <f aca="true" t="shared" si="0" ref="N64:N125">IF(P$60=O$60,O64,IF(O64="-",O64,ROUND(O64-((O64-P64)/(P$60-O$60))*(N$60-O$60),3)))</f>
        <v>2.928</v>
      </c>
      <c r="O64" s="393" t="str">
        <f>IF(O$60=10,C64,HLOOKUP($O$60,$D$60:$M$125,5,TRUE))</f>
        <v>2,93</v>
      </c>
      <c r="P64" s="387" t="str">
        <f aca="true" t="shared" si="1" ref="P64:P125">IF(P$60=10,C64,HLOOKUP($P$60,$D$60:$M$125,4,TRUE))</f>
        <v>2,81</v>
      </c>
    </row>
    <row r="65" spans="1:16" ht="15">
      <c r="A65" s="372" t="s">
        <v>672</v>
      </c>
      <c r="B65" s="373" t="s">
        <v>673</v>
      </c>
      <c r="C65" s="383" t="s">
        <v>674</v>
      </c>
      <c r="D65" s="383" t="s">
        <v>675</v>
      </c>
      <c r="E65" s="383" t="s">
        <v>653</v>
      </c>
      <c r="F65" s="383" t="s">
        <v>676</v>
      </c>
      <c r="G65" s="383" t="s">
        <v>677</v>
      </c>
      <c r="H65" s="383" t="s">
        <v>678</v>
      </c>
      <c r="I65" s="383" t="s">
        <v>679</v>
      </c>
      <c r="J65" s="383" t="s">
        <v>680</v>
      </c>
      <c r="K65" s="383" t="s">
        <v>681</v>
      </c>
      <c r="L65" s="383" t="s">
        <v>671</v>
      </c>
      <c r="M65" s="383" t="s">
        <v>682</v>
      </c>
      <c r="N65" s="385">
        <f t="shared" si="0"/>
        <v>2.672</v>
      </c>
      <c r="O65" s="393" t="str">
        <f>IF(O$60=10,C65,HLOOKUP($O$60,$D$60:$M$125,6,TRUE))</f>
        <v>2,67</v>
      </c>
      <c r="P65" s="387" t="str">
        <f t="shared" si="1"/>
        <v>2,81</v>
      </c>
    </row>
    <row r="66" spans="1:16" ht="15">
      <c r="A66" s="372" t="s">
        <v>683</v>
      </c>
      <c r="B66" s="373" t="s">
        <v>684</v>
      </c>
      <c r="C66" s="383" t="s">
        <v>651</v>
      </c>
      <c r="D66" s="383" t="s">
        <v>685</v>
      </c>
      <c r="E66" s="383" t="s">
        <v>686</v>
      </c>
      <c r="F66" s="383" t="s">
        <v>687</v>
      </c>
      <c r="G66" s="383" t="s">
        <v>688</v>
      </c>
      <c r="H66" s="383" t="s">
        <v>689</v>
      </c>
      <c r="I66" s="383" t="s">
        <v>690</v>
      </c>
      <c r="J66" s="383" t="s">
        <v>691</v>
      </c>
      <c r="K66" s="383" t="s">
        <v>692</v>
      </c>
      <c r="L66" s="383" t="s">
        <v>593</v>
      </c>
      <c r="M66" s="383" t="s">
        <v>693</v>
      </c>
      <c r="N66" s="385">
        <f t="shared" si="0"/>
        <v>2.367</v>
      </c>
      <c r="O66" s="393" t="str">
        <f>IF(O$60=10,C66,HLOOKUP($O$60,$D$60:$M$125,7,TRUE))</f>
        <v>2,36</v>
      </c>
      <c r="P66" s="387" t="str">
        <f t="shared" si="1"/>
        <v>2,81</v>
      </c>
    </row>
    <row r="67" spans="1:16" ht="15">
      <c r="A67" s="372" t="s">
        <v>694</v>
      </c>
      <c r="B67" s="373" t="s">
        <v>695</v>
      </c>
      <c r="C67" s="383" t="s">
        <v>685</v>
      </c>
      <c r="D67" s="383" t="s">
        <v>696</v>
      </c>
      <c r="E67" s="383" t="s">
        <v>697</v>
      </c>
      <c r="F67" s="383" t="s">
        <v>698</v>
      </c>
      <c r="G67" s="383" t="s">
        <v>699</v>
      </c>
      <c r="H67" s="383" t="s">
        <v>657</v>
      </c>
      <c r="I67" s="383" t="s">
        <v>700</v>
      </c>
      <c r="J67" s="383" t="s">
        <v>700</v>
      </c>
      <c r="K67" s="383" t="s">
        <v>700</v>
      </c>
      <c r="L67" s="383" t="s">
        <v>700</v>
      </c>
      <c r="M67" s="383" t="s">
        <v>700</v>
      </c>
      <c r="N67" s="385">
        <f t="shared" si="0"/>
        <v>2.082</v>
      </c>
      <c r="O67" s="393" t="str">
        <f>IF(O$60=10,C67,HLOOKUP($O$60,$D$60:$M$125,8,TRUE))</f>
        <v>2,07</v>
      </c>
      <c r="P67" s="387" t="str">
        <f t="shared" si="1"/>
        <v>2,81</v>
      </c>
    </row>
    <row r="68" spans="1:16" ht="15">
      <c r="A68" s="372" t="s">
        <v>701</v>
      </c>
      <c r="B68" s="389" t="s">
        <v>702</v>
      </c>
      <c r="C68" s="394"/>
      <c r="D68" s="394"/>
      <c r="E68" s="394"/>
      <c r="F68" s="394"/>
      <c r="G68" s="394"/>
      <c r="H68" s="394"/>
      <c r="I68" s="394"/>
      <c r="J68" s="394"/>
      <c r="K68" s="394"/>
      <c r="L68" s="394"/>
      <c r="M68" s="395"/>
      <c r="N68" s="383"/>
      <c r="O68" s="396"/>
      <c r="P68" s="383"/>
    </row>
    <row r="69" spans="1:16" ht="15">
      <c r="A69" s="372" t="s">
        <v>703</v>
      </c>
      <c r="B69" s="373" t="s">
        <v>648</v>
      </c>
      <c r="C69" s="383" t="s">
        <v>704</v>
      </c>
      <c r="D69" s="383" t="s">
        <v>705</v>
      </c>
      <c r="E69" s="383" t="s">
        <v>706</v>
      </c>
      <c r="F69" s="383" t="s">
        <v>707</v>
      </c>
      <c r="G69" s="383" t="s">
        <v>708</v>
      </c>
      <c r="H69" s="383" t="s">
        <v>709</v>
      </c>
      <c r="I69" s="383" t="s">
        <v>710</v>
      </c>
      <c r="J69" s="383" t="s">
        <v>654</v>
      </c>
      <c r="K69" s="383" t="s">
        <v>711</v>
      </c>
      <c r="L69" s="383" t="s">
        <v>712</v>
      </c>
      <c r="M69" s="383" t="s">
        <v>713</v>
      </c>
      <c r="N69" s="385">
        <f t="shared" si="0"/>
        <v>4.631</v>
      </c>
      <c r="O69" s="393" t="str">
        <f>IF(O$60=10,C69,HLOOKUP($O$60,$D$60:$M$125,10,TRUE))</f>
        <v>4,66</v>
      </c>
      <c r="P69" s="387" t="str">
        <f t="shared" si="1"/>
        <v>2,81</v>
      </c>
    </row>
    <row r="70" spans="1:16" ht="15">
      <c r="A70" s="372" t="s">
        <v>714</v>
      </c>
      <c r="B70" s="373" t="s">
        <v>661</v>
      </c>
      <c r="C70" s="383" t="s">
        <v>715</v>
      </c>
      <c r="D70" s="383" t="s">
        <v>716</v>
      </c>
      <c r="E70" s="383" t="s">
        <v>707</v>
      </c>
      <c r="F70" s="383" t="s">
        <v>717</v>
      </c>
      <c r="G70" s="383" t="s">
        <v>718</v>
      </c>
      <c r="H70" s="383" t="s">
        <v>719</v>
      </c>
      <c r="I70" s="383" t="s">
        <v>720</v>
      </c>
      <c r="J70" s="383" t="s">
        <v>721</v>
      </c>
      <c r="K70" s="383" t="s">
        <v>656</v>
      </c>
      <c r="L70" s="383" t="s">
        <v>722</v>
      </c>
      <c r="M70" s="383" t="s">
        <v>670</v>
      </c>
      <c r="N70" s="385">
        <f t="shared" si="0"/>
        <v>4.198</v>
      </c>
      <c r="O70" s="393" t="str">
        <f>IF(O$60=10,C70,HLOOKUP($O$60,$D$60:$M$125,11,TRUE))</f>
        <v>4,22</v>
      </c>
      <c r="P70" s="387" t="str">
        <f t="shared" si="1"/>
        <v>2,81</v>
      </c>
    </row>
    <row r="71" spans="1:16" ht="15">
      <c r="A71" s="372" t="s">
        <v>723</v>
      </c>
      <c r="B71" s="373" t="s">
        <v>673</v>
      </c>
      <c r="C71" s="383" t="s">
        <v>724</v>
      </c>
      <c r="D71" s="383" t="s">
        <v>725</v>
      </c>
      <c r="E71" s="383" t="s">
        <v>726</v>
      </c>
      <c r="F71" s="383" t="s">
        <v>727</v>
      </c>
      <c r="G71" s="383" t="s">
        <v>728</v>
      </c>
      <c r="H71" s="383" t="s">
        <v>729</v>
      </c>
      <c r="I71" s="383" t="s">
        <v>730</v>
      </c>
      <c r="J71" s="383" t="s">
        <v>655</v>
      </c>
      <c r="K71" s="383" t="s">
        <v>699</v>
      </c>
      <c r="L71" s="383" t="s">
        <v>731</v>
      </c>
      <c r="M71" s="383" t="s">
        <v>732</v>
      </c>
      <c r="N71" s="385">
        <f t="shared" si="0"/>
        <v>3.834</v>
      </c>
      <c r="O71" s="393" t="str">
        <f>IF(O$60=10,C71,HLOOKUP($O$60,$D$60:$M$125,12,TRUE))</f>
        <v>3,85</v>
      </c>
      <c r="P71" s="387" t="str">
        <f t="shared" si="1"/>
        <v>2,81</v>
      </c>
    </row>
    <row r="72" spans="1:16" ht="15">
      <c r="A72" s="372" t="s">
        <v>733</v>
      </c>
      <c r="B72" s="373" t="s">
        <v>684</v>
      </c>
      <c r="C72" s="383" t="s">
        <v>706</v>
      </c>
      <c r="D72" s="383" t="s">
        <v>734</v>
      </c>
      <c r="E72" s="383" t="s">
        <v>735</v>
      </c>
      <c r="F72" s="383" t="s">
        <v>736</v>
      </c>
      <c r="G72" s="383" t="s">
        <v>685</v>
      </c>
      <c r="H72" s="383" t="s">
        <v>737</v>
      </c>
      <c r="I72" s="383" t="s">
        <v>688</v>
      </c>
      <c r="J72" s="383" t="s">
        <v>738</v>
      </c>
      <c r="K72" s="383" t="s">
        <v>680</v>
      </c>
      <c r="L72" s="383" t="s">
        <v>732</v>
      </c>
      <c r="M72" s="383" t="s">
        <v>739</v>
      </c>
      <c r="N72" s="385">
        <f t="shared" si="0"/>
        <v>3.401</v>
      </c>
      <c r="O72" s="393" t="str">
        <f>IF(O$60=10,C72,HLOOKUP($O$60,$D$60:$M$125,13,TRUE))</f>
        <v>3,41</v>
      </c>
      <c r="P72" s="387" t="str">
        <f t="shared" si="1"/>
        <v>2,81</v>
      </c>
    </row>
    <row r="73" spans="1:16" ht="15">
      <c r="A73" s="372" t="s">
        <v>740</v>
      </c>
      <c r="B73" s="373" t="s">
        <v>695</v>
      </c>
      <c r="C73" s="383" t="s">
        <v>741</v>
      </c>
      <c r="D73" s="383" t="s">
        <v>663</v>
      </c>
      <c r="E73" s="383" t="s">
        <v>742</v>
      </c>
      <c r="F73" s="383" t="s">
        <v>743</v>
      </c>
      <c r="G73" s="383" t="s">
        <v>721</v>
      </c>
      <c r="H73" s="383" t="s">
        <v>698</v>
      </c>
      <c r="I73" s="383" t="s">
        <v>700</v>
      </c>
      <c r="J73" s="383" t="s">
        <v>700</v>
      </c>
      <c r="K73" s="383" t="s">
        <v>700</v>
      </c>
      <c r="L73" s="383" t="s">
        <v>700</v>
      </c>
      <c r="M73" s="383" t="s">
        <v>700</v>
      </c>
      <c r="N73" s="385">
        <f t="shared" si="0"/>
        <v>2.918</v>
      </c>
      <c r="O73" s="393" t="str">
        <f>IF(O$60=10,C73,HLOOKUP($O$60,$D$60:$M$125,14,TRUE))</f>
        <v>2,92</v>
      </c>
      <c r="P73" s="387" t="str">
        <f t="shared" si="1"/>
        <v>2,81</v>
      </c>
    </row>
    <row r="74" spans="1:16" ht="15">
      <c r="A74" s="372">
        <v>2</v>
      </c>
      <c r="B74" s="389" t="s">
        <v>465</v>
      </c>
      <c r="C74" s="394"/>
      <c r="D74" s="394"/>
      <c r="E74" s="394"/>
      <c r="F74" s="394"/>
      <c r="G74" s="394"/>
      <c r="H74" s="394"/>
      <c r="I74" s="394"/>
      <c r="J74" s="394"/>
      <c r="K74" s="394"/>
      <c r="L74" s="394"/>
      <c r="M74" s="395"/>
      <c r="N74" s="383"/>
      <c r="O74" s="396"/>
      <c r="P74" s="383"/>
    </row>
    <row r="75" spans="1:16" ht="15">
      <c r="A75" s="372" t="s">
        <v>744</v>
      </c>
      <c r="B75" s="389" t="s">
        <v>646</v>
      </c>
      <c r="C75" s="394"/>
      <c r="D75" s="394"/>
      <c r="E75" s="394"/>
      <c r="F75" s="394"/>
      <c r="G75" s="394"/>
      <c r="H75" s="394"/>
      <c r="I75" s="394"/>
      <c r="J75" s="394"/>
      <c r="K75" s="394"/>
      <c r="L75" s="394"/>
      <c r="M75" s="395"/>
      <c r="N75" s="383"/>
      <c r="O75" s="396"/>
      <c r="P75" s="383"/>
    </row>
    <row r="76" spans="1:16" ht="15">
      <c r="A76" s="372" t="s">
        <v>745</v>
      </c>
      <c r="B76" s="373" t="s">
        <v>648</v>
      </c>
      <c r="C76" s="383" t="s">
        <v>746</v>
      </c>
      <c r="D76" s="383" t="s">
        <v>747</v>
      </c>
      <c r="E76" s="383" t="s">
        <v>728</v>
      </c>
      <c r="F76" s="383" t="s">
        <v>748</v>
      </c>
      <c r="G76" s="383" t="s">
        <v>749</v>
      </c>
      <c r="H76" s="383" t="s">
        <v>720</v>
      </c>
      <c r="I76" s="383" t="s">
        <v>750</v>
      </c>
      <c r="J76" s="383" t="s">
        <v>698</v>
      </c>
      <c r="K76" s="383" t="s">
        <v>751</v>
      </c>
      <c r="L76" s="383" t="s">
        <v>752</v>
      </c>
      <c r="M76" s="383" t="s">
        <v>753</v>
      </c>
      <c r="N76" s="385">
        <f t="shared" si="0"/>
        <v>2.958</v>
      </c>
      <c r="O76" s="393" t="str">
        <f>IF(O$60=10,C76,HLOOKUP($O$60,$D$60:$M$125,17,TRUE))</f>
        <v>2,96</v>
      </c>
      <c r="P76" s="387" t="str">
        <f t="shared" si="1"/>
        <v>2,81</v>
      </c>
    </row>
    <row r="77" spans="1:16" ht="15">
      <c r="A77" s="372" t="s">
        <v>754</v>
      </c>
      <c r="B77" s="373" t="s">
        <v>661</v>
      </c>
      <c r="C77" s="383" t="s">
        <v>755</v>
      </c>
      <c r="D77" s="383" t="s">
        <v>756</v>
      </c>
      <c r="E77" s="383" t="s">
        <v>710</v>
      </c>
      <c r="F77" s="383" t="s">
        <v>676</v>
      </c>
      <c r="G77" s="383" t="s">
        <v>757</v>
      </c>
      <c r="H77" s="383" t="s">
        <v>758</v>
      </c>
      <c r="I77" s="383" t="s">
        <v>711</v>
      </c>
      <c r="J77" s="383" t="s">
        <v>759</v>
      </c>
      <c r="K77" s="383" t="s">
        <v>670</v>
      </c>
      <c r="L77" s="383" t="s">
        <v>760</v>
      </c>
      <c r="M77" s="383" t="s">
        <v>761</v>
      </c>
      <c r="N77" s="385">
        <f t="shared" si="0"/>
        <v>2.475</v>
      </c>
      <c r="O77" s="393" t="str">
        <f>IF(O$60=10,C77,HLOOKUP($O$60,$D$60:$M$125,18,TRUE))</f>
        <v>2,47</v>
      </c>
      <c r="P77" s="387" t="str">
        <f t="shared" si="1"/>
        <v>2,81</v>
      </c>
    </row>
    <row r="78" spans="1:16" ht="15">
      <c r="A78" s="372" t="s">
        <v>762</v>
      </c>
      <c r="B78" s="373" t="s">
        <v>673</v>
      </c>
      <c r="C78" s="383" t="s">
        <v>763</v>
      </c>
      <c r="D78" s="383" t="s">
        <v>743</v>
      </c>
      <c r="E78" s="383" t="s">
        <v>764</v>
      </c>
      <c r="F78" s="383" t="s">
        <v>758</v>
      </c>
      <c r="G78" s="383" t="s">
        <v>765</v>
      </c>
      <c r="H78" s="383" t="s">
        <v>738</v>
      </c>
      <c r="I78" s="383" t="s">
        <v>669</v>
      </c>
      <c r="J78" s="383" t="s">
        <v>722</v>
      </c>
      <c r="K78" s="383" t="s">
        <v>766</v>
      </c>
      <c r="L78" s="383" t="s">
        <v>767</v>
      </c>
      <c r="M78" s="383" t="s">
        <v>593</v>
      </c>
      <c r="N78" s="385">
        <f t="shared" si="0"/>
        <v>2.042</v>
      </c>
      <c r="O78" s="393" t="str">
        <f>IF(O$60=10,C78,HLOOKUP($O$60,$D$60:$M$125,19,TRUE))</f>
        <v>2,03</v>
      </c>
      <c r="P78" s="387" t="str">
        <f t="shared" si="1"/>
        <v>2,81</v>
      </c>
    </row>
    <row r="79" spans="1:16" ht="15">
      <c r="A79" s="372" t="s">
        <v>768</v>
      </c>
      <c r="B79" s="373" t="s">
        <v>684</v>
      </c>
      <c r="C79" s="383" t="s">
        <v>666</v>
      </c>
      <c r="D79" s="383" t="s">
        <v>654</v>
      </c>
      <c r="E79" s="383" t="s">
        <v>769</v>
      </c>
      <c r="F79" s="383" t="s">
        <v>770</v>
      </c>
      <c r="G79" s="383" t="s">
        <v>771</v>
      </c>
      <c r="H79" s="383" t="s">
        <v>699</v>
      </c>
      <c r="I79" s="383" t="s">
        <v>772</v>
      </c>
      <c r="J79" s="383" t="s">
        <v>752</v>
      </c>
      <c r="K79" s="383" t="s">
        <v>761</v>
      </c>
      <c r="L79" s="383" t="s">
        <v>773</v>
      </c>
      <c r="M79" s="383" t="s">
        <v>774</v>
      </c>
      <c r="N79" s="385">
        <f t="shared" si="0"/>
        <v>1.796</v>
      </c>
      <c r="O79" s="393" t="str">
        <f>IF(O$60=10,C79,HLOOKUP($O$60,$D$60:$M$125,20,TRUE))</f>
        <v>1,78</v>
      </c>
      <c r="P79" s="387" t="str">
        <f t="shared" si="1"/>
        <v>2,81</v>
      </c>
    </row>
    <row r="80" spans="1:16" ht="15">
      <c r="A80" s="372" t="s">
        <v>775</v>
      </c>
      <c r="B80" s="373" t="s">
        <v>695</v>
      </c>
      <c r="C80" s="383" t="s">
        <v>764</v>
      </c>
      <c r="D80" s="383" t="s">
        <v>776</v>
      </c>
      <c r="E80" s="383" t="s">
        <v>777</v>
      </c>
      <c r="F80" s="383" t="s">
        <v>778</v>
      </c>
      <c r="G80" s="383" t="s">
        <v>690</v>
      </c>
      <c r="H80" s="383" t="s">
        <v>691</v>
      </c>
      <c r="I80" s="383" t="s">
        <v>700</v>
      </c>
      <c r="J80" s="383" t="s">
        <v>700</v>
      </c>
      <c r="K80" s="383" t="s">
        <v>700</v>
      </c>
      <c r="L80" s="383" t="s">
        <v>700</v>
      </c>
      <c r="M80" s="383" t="s">
        <v>700</v>
      </c>
      <c r="N80" s="385">
        <f t="shared" si="0"/>
        <v>1.609</v>
      </c>
      <c r="O80" s="393" t="str">
        <f>IF(O$60=10,C80,HLOOKUP($O$60,$D$60:$M$125,21,TRUE))</f>
        <v>1,59</v>
      </c>
      <c r="P80" s="387" t="str">
        <f t="shared" si="1"/>
        <v>2,81</v>
      </c>
    </row>
    <row r="81" spans="1:16" ht="15">
      <c r="A81" s="372" t="s">
        <v>779</v>
      </c>
      <c r="B81" s="389" t="s">
        <v>702</v>
      </c>
      <c r="C81" s="394"/>
      <c r="D81" s="394"/>
      <c r="E81" s="394"/>
      <c r="F81" s="394"/>
      <c r="G81" s="394"/>
      <c r="H81" s="394"/>
      <c r="I81" s="394"/>
      <c r="J81" s="394"/>
      <c r="K81" s="394"/>
      <c r="L81" s="394"/>
      <c r="M81" s="395"/>
      <c r="N81" s="383"/>
      <c r="O81" s="396"/>
      <c r="P81" s="383"/>
    </row>
    <row r="82" spans="1:16" ht="15">
      <c r="A82" s="372" t="s">
        <v>780</v>
      </c>
      <c r="B82" s="373" t="s">
        <v>648</v>
      </c>
      <c r="C82" s="383" t="s">
        <v>781</v>
      </c>
      <c r="D82" s="383" t="s">
        <v>782</v>
      </c>
      <c r="E82" s="383" t="s">
        <v>716</v>
      </c>
      <c r="F82" s="383" t="s">
        <v>783</v>
      </c>
      <c r="G82" s="383" t="s">
        <v>784</v>
      </c>
      <c r="H82" s="383" t="s">
        <v>785</v>
      </c>
      <c r="I82" s="383" t="s">
        <v>786</v>
      </c>
      <c r="J82" s="383" t="s">
        <v>763</v>
      </c>
      <c r="K82" s="383" t="s">
        <v>787</v>
      </c>
      <c r="L82" s="383" t="s">
        <v>689</v>
      </c>
      <c r="M82" s="383" t="s">
        <v>788</v>
      </c>
      <c r="N82" s="385">
        <f t="shared" si="0"/>
        <v>4.671</v>
      </c>
      <c r="O82" s="393" t="str">
        <f>IF(O$60=10,C82,HLOOKUP($O$60,$D$60:$M$125,23,TRUE))</f>
        <v>4,70</v>
      </c>
      <c r="P82" s="387" t="str">
        <f t="shared" si="1"/>
        <v>2,81</v>
      </c>
    </row>
    <row r="83" spans="1:16" ht="15">
      <c r="A83" s="372" t="s">
        <v>789</v>
      </c>
      <c r="B83" s="373" t="s">
        <v>661</v>
      </c>
      <c r="C83" s="383" t="s">
        <v>790</v>
      </c>
      <c r="D83" s="383" t="s">
        <v>791</v>
      </c>
      <c r="E83" s="383" t="s">
        <v>792</v>
      </c>
      <c r="F83" s="383" t="s">
        <v>793</v>
      </c>
      <c r="G83" s="383" t="s">
        <v>794</v>
      </c>
      <c r="H83" s="383" t="s">
        <v>795</v>
      </c>
      <c r="I83" s="383" t="s">
        <v>796</v>
      </c>
      <c r="J83" s="383" t="s">
        <v>797</v>
      </c>
      <c r="K83" s="383" t="s">
        <v>798</v>
      </c>
      <c r="L83" s="383" t="s">
        <v>799</v>
      </c>
      <c r="M83" s="383" t="s">
        <v>800</v>
      </c>
      <c r="N83" s="385">
        <f t="shared" si="0"/>
        <v>3.853</v>
      </c>
      <c r="O83" s="393" t="str">
        <f>IF(O$60=10,C83,HLOOKUP($O$60,$D$60:$M$125,24,TRUE))</f>
        <v>3,87</v>
      </c>
      <c r="P83" s="387" t="str">
        <f t="shared" si="1"/>
        <v>2,81</v>
      </c>
    </row>
    <row r="84" spans="1:16" ht="15">
      <c r="A84" s="372" t="s">
        <v>801</v>
      </c>
      <c r="B84" s="373" t="s">
        <v>673</v>
      </c>
      <c r="C84" s="383" t="s">
        <v>802</v>
      </c>
      <c r="D84" s="383" t="s">
        <v>803</v>
      </c>
      <c r="E84" s="383" t="s">
        <v>804</v>
      </c>
      <c r="F84" s="383" t="s">
        <v>805</v>
      </c>
      <c r="G84" s="383" t="s">
        <v>763</v>
      </c>
      <c r="H84" s="383" t="s">
        <v>806</v>
      </c>
      <c r="I84" s="383" t="s">
        <v>807</v>
      </c>
      <c r="J84" s="383" t="s">
        <v>808</v>
      </c>
      <c r="K84" s="383" t="s">
        <v>788</v>
      </c>
      <c r="L84" s="383" t="s">
        <v>731</v>
      </c>
      <c r="M84" s="383" t="s">
        <v>732</v>
      </c>
      <c r="N84" s="385">
        <f t="shared" si="0"/>
        <v>3.125</v>
      </c>
      <c r="O84" s="393" t="str">
        <f>IF(O$60=10,C84,HLOOKUP($O$60,$D$60:$M$125,25,TRUE))</f>
        <v>3,13</v>
      </c>
      <c r="P84" s="387" t="str">
        <f t="shared" si="1"/>
        <v>2,81</v>
      </c>
    </row>
    <row r="85" spans="1:16" ht="15">
      <c r="A85" s="372" t="s">
        <v>809</v>
      </c>
      <c r="B85" s="373" t="s">
        <v>684</v>
      </c>
      <c r="C85" s="383" t="s">
        <v>810</v>
      </c>
      <c r="D85" s="383" t="s">
        <v>718</v>
      </c>
      <c r="E85" s="383" t="s">
        <v>811</v>
      </c>
      <c r="F85" s="383" t="s">
        <v>812</v>
      </c>
      <c r="G85" s="383" t="s">
        <v>813</v>
      </c>
      <c r="H85" s="383" t="s">
        <v>814</v>
      </c>
      <c r="I85" s="383" t="s">
        <v>776</v>
      </c>
      <c r="J85" s="383" t="s">
        <v>815</v>
      </c>
      <c r="K85" s="383" t="s">
        <v>713</v>
      </c>
      <c r="L85" s="383" t="s">
        <v>732</v>
      </c>
      <c r="M85" s="383" t="s">
        <v>692</v>
      </c>
      <c r="N85" s="385">
        <f t="shared" si="0"/>
        <v>2.78</v>
      </c>
      <c r="O85" s="393" t="str">
        <f>IF(O$60=10,C85,HLOOKUP($O$60,$D$60:$M$125,26,TRUE))</f>
        <v>2,78</v>
      </c>
      <c r="P85" s="387" t="str">
        <f t="shared" si="1"/>
        <v>2,81</v>
      </c>
    </row>
    <row r="86" spans="1:16" ht="15">
      <c r="A86" s="372" t="s">
        <v>816</v>
      </c>
      <c r="B86" s="373" t="s">
        <v>695</v>
      </c>
      <c r="C86" s="383" t="s">
        <v>817</v>
      </c>
      <c r="D86" s="383" t="s">
        <v>736</v>
      </c>
      <c r="E86" s="383" t="s">
        <v>818</v>
      </c>
      <c r="F86" s="383" t="s">
        <v>819</v>
      </c>
      <c r="G86" s="383" t="s">
        <v>776</v>
      </c>
      <c r="H86" s="383" t="s">
        <v>668</v>
      </c>
      <c r="I86" s="383" t="s">
        <v>700</v>
      </c>
      <c r="J86" s="383" t="s">
        <v>700</v>
      </c>
      <c r="K86" s="383" t="s">
        <v>700</v>
      </c>
      <c r="L86" s="383" t="s">
        <v>700</v>
      </c>
      <c r="M86" s="383" t="s">
        <v>700</v>
      </c>
      <c r="N86" s="385">
        <f t="shared" si="0"/>
        <v>2.465</v>
      </c>
      <c r="O86" s="393" t="str">
        <f>IF(O$60=10,C86,HLOOKUP($O$60,$D$60:$M$125,27,TRUE))</f>
        <v>2,46</v>
      </c>
      <c r="P86" s="387" t="str">
        <f t="shared" si="1"/>
        <v>2,81</v>
      </c>
    </row>
    <row r="87" spans="1:16" ht="15">
      <c r="A87" s="372">
        <v>3</v>
      </c>
      <c r="B87" s="389" t="s">
        <v>472</v>
      </c>
      <c r="C87" s="394"/>
      <c r="D87" s="394"/>
      <c r="E87" s="394"/>
      <c r="F87" s="394"/>
      <c r="G87" s="394"/>
      <c r="H87" s="394"/>
      <c r="I87" s="394"/>
      <c r="J87" s="394"/>
      <c r="K87" s="394"/>
      <c r="L87" s="394"/>
      <c r="M87" s="395"/>
      <c r="N87" s="383"/>
      <c r="O87" s="396"/>
      <c r="P87" s="383"/>
    </row>
    <row r="88" spans="1:16" ht="15">
      <c r="A88" s="372" t="s">
        <v>820</v>
      </c>
      <c r="B88" s="389" t="s">
        <v>646</v>
      </c>
      <c r="C88" s="394"/>
      <c r="D88" s="394"/>
      <c r="E88" s="394"/>
      <c r="F88" s="394"/>
      <c r="G88" s="394"/>
      <c r="H88" s="394"/>
      <c r="I88" s="394"/>
      <c r="J88" s="394"/>
      <c r="K88" s="394"/>
      <c r="L88" s="394"/>
      <c r="M88" s="395"/>
      <c r="N88" s="383"/>
      <c r="O88" s="396"/>
      <c r="P88" s="383"/>
    </row>
    <row r="89" spans="1:16" ht="15">
      <c r="A89" s="372" t="s">
        <v>821</v>
      </c>
      <c r="B89" s="373" t="s">
        <v>648</v>
      </c>
      <c r="C89" s="383" t="s">
        <v>822</v>
      </c>
      <c r="D89" s="383" t="s">
        <v>749</v>
      </c>
      <c r="E89" s="383" t="s">
        <v>814</v>
      </c>
      <c r="F89" s="383" t="s">
        <v>667</v>
      </c>
      <c r="G89" s="383" t="s">
        <v>655</v>
      </c>
      <c r="H89" s="383" t="s">
        <v>777</v>
      </c>
      <c r="I89" s="383" t="s">
        <v>823</v>
      </c>
      <c r="J89" s="383" t="s">
        <v>824</v>
      </c>
      <c r="K89" s="383" t="s">
        <v>658</v>
      </c>
      <c r="L89" s="383" t="s">
        <v>825</v>
      </c>
      <c r="M89" s="383" t="s">
        <v>826</v>
      </c>
      <c r="N89" s="385">
        <f t="shared" si="0"/>
        <v>2.062</v>
      </c>
      <c r="O89" s="393" t="str">
        <f>IF(O$60=10,C89,HLOOKUP($O$60,$D$60:$M$125,30,TRUE))</f>
        <v>2,05</v>
      </c>
      <c r="P89" s="387" t="str">
        <f t="shared" si="1"/>
        <v>2,81</v>
      </c>
    </row>
    <row r="90" spans="1:16" ht="15">
      <c r="A90" s="372" t="s">
        <v>827</v>
      </c>
      <c r="B90" s="373" t="s">
        <v>661</v>
      </c>
      <c r="C90" s="383" t="s">
        <v>828</v>
      </c>
      <c r="D90" s="383" t="s">
        <v>829</v>
      </c>
      <c r="E90" s="383" t="s">
        <v>830</v>
      </c>
      <c r="F90" s="383" t="s">
        <v>669</v>
      </c>
      <c r="G90" s="383" t="s">
        <v>831</v>
      </c>
      <c r="H90" s="383" t="s">
        <v>832</v>
      </c>
      <c r="I90" s="383" t="s">
        <v>658</v>
      </c>
      <c r="J90" s="383" t="s">
        <v>761</v>
      </c>
      <c r="K90" s="383" t="s">
        <v>693</v>
      </c>
      <c r="L90" s="383" t="s">
        <v>833</v>
      </c>
      <c r="M90" s="383" t="s">
        <v>834</v>
      </c>
      <c r="N90" s="385">
        <f t="shared" si="0"/>
        <v>1.461</v>
      </c>
      <c r="O90" s="393" t="str">
        <f>IF(O$60=10,C90,HLOOKUP($O$60,$D$60:$M$125,31,TRUE))</f>
        <v>1,44</v>
      </c>
      <c r="P90" s="387" t="str">
        <f t="shared" si="1"/>
        <v>2,81</v>
      </c>
    </row>
    <row r="91" spans="1:16" ht="15">
      <c r="A91" s="372" t="s">
        <v>835</v>
      </c>
      <c r="B91" s="373" t="s">
        <v>673</v>
      </c>
      <c r="C91" s="383" t="s">
        <v>836</v>
      </c>
      <c r="D91" s="383" t="s">
        <v>823</v>
      </c>
      <c r="E91" s="383" t="s">
        <v>824</v>
      </c>
      <c r="F91" s="383" t="s">
        <v>837</v>
      </c>
      <c r="G91" s="383" t="s">
        <v>838</v>
      </c>
      <c r="H91" s="383" t="s">
        <v>753</v>
      </c>
      <c r="I91" s="383" t="s">
        <v>839</v>
      </c>
      <c r="J91" s="383" t="s">
        <v>825</v>
      </c>
      <c r="K91" s="383" t="s">
        <v>840</v>
      </c>
      <c r="L91" s="383" t="s">
        <v>841</v>
      </c>
      <c r="M91" s="383" t="s">
        <v>842</v>
      </c>
      <c r="N91" s="385">
        <f t="shared" si="0"/>
        <v>1.215</v>
      </c>
      <c r="O91" s="393" t="str">
        <f>IF(O$60=10,C91,HLOOKUP($O$60,$D$60:$M$125,32,TRUE))</f>
        <v>1,19</v>
      </c>
      <c r="P91" s="387" t="str">
        <f t="shared" si="1"/>
        <v>2,81</v>
      </c>
    </row>
    <row r="92" spans="1:16" ht="15">
      <c r="A92" s="372" t="s">
        <v>843</v>
      </c>
      <c r="B92" s="373" t="s">
        <v>684</v>
      </c>
      <c r="C92" s="383" t="s">
        <v>669</v>
      </c>
      <c r="D92" s="383" t="s">
        <v>772</v>
      </c>
      <c r="E92" s="383" t="s">
        <v>832</v>
      </c>
      <c r="F92" s="383" t="s">
        <v>844</v>
      </c>
      <c r="G92" s="383" t="s">
        <v>658</v>
      </c>
      <c r="H92" s="383" t="s">
        <v>761</v>
      </c>
      <c r="I92" s="383" t="s">
        <v>593</v>
      </c>
      <c r="J92" s="383" t="s">
        <v>845</v>
      </c>
      <c r="K92" s="383" t="s">
        <v>846</v>
      </c>
      <c r="L92" s="383" t="s">
        <v>842</v>
      </c>
      <c r="M92" s="383" t="s">
        <v>847</v>
      </c>
      <c r="N92" s="385">
        <f t="shared" si="0"/>
        <v>1.077</v>
      </c>
      <c r="O92" s="393" t="str">
        <f>IF(O$60=10,C92,HLOOKUP($O$60,$D$60:$M$125,33,TRUE))</f>
        <v>1,05</v>
      </c>
      <c r="P92" s="387" t="str">
        <f t="shared" si="1"/>
        <v>2,81</v>
      </c>
    </row>
    <row r="93" spans="1:16" ht="15">
      <c r="A93" s="372" t="s">
        <v>848</v>
      </c>
      <c r="B93" s="373" t="s">
        <v>695</v>
      </c>
      <c r="C93" s="383" t="s">
        <v>831</v>
      </c>
      <c r="D93" s="383" t="s">
        <v>849</v>
      </c>
      <c r="E93" s="383" t="s">
        <v>850</v>
      </c>
      <c r="F93" s="383" t="s">
        <v>851</v>
      </c>
      <c r="G93" s="383" t="s">
        <v>852</v>
      </c>
      <c r="H93" s="383" t="s">
        <v>853</v>
      </c>
      <c r="I93" s="383" t="s">
        <v>845</v>
      </c>
      <c r="J93" s="383" t="s">
        <v>700</v>
      </c>
      <c r="K93" s="383" t="s">
        <v>700</v>
      </c>
      <c r="L93" s="383" t="s">
        <v>700</v>
      </c>
      <c r="M93" s="383" t="s">
        <v>700</v>
      </c>
      <c r="N93" s="385">
        <f t="shared" si="0"/>
        <v>0.979</v>
      </c>
      <c r="O93" s="393" t="str">
        <f>IF(O$60=10,C93,HLOOKUP($O$60,$D$60:$M$125,34,TRUE))</f>
        <v>0,95</v>
      </c>
      <c r="P93" s="387" t="str">
        <f t="shared" si="1"/>
        <v>2,81</v>
      </c>
    </row>
    <row r="94" spans="1:16" ht="15">
      <c r="A94" s="372" t="s">
        <v>854</v>
      </c>
      <c r="B94" s="389" t="s">
        <v>702</v>
      </c>
      <c r="C94" s="394"/>
      <c r="D94" s="394"/>
      <c r="E94" s="394"/>
      <c r="F94" s="394"/>
      <c r="G94" s="394"/>
      <c r="H94" s="394"/>
      <c r="I94" s="394"/>
      <c r="J94" s="394"/>
      <c r="K94" s="394"/>
      <c r="L94" s="394"/>
      <c r="M94" s="395"/>
      <c r="N94" s="383"/>
      <c r="O94" s="396"/>
      <c r="P94" s="383"/>
    </row>
    <row r="95" spans="1:16" ht="15">
      <c r="A95" s="372" t="s">
        <v>855</v>
      </c>
      <c r="B95" s="373" t="s">
        <v>648</v>
      </c>
      <c r="C95" s="383" t="s">
        <v>784</v>
      </c>
      <c r="D95" s="383" t="s">
        <v>856</v>
      </c>
      <c r="E95" s="383" t="s">
        <v>651</v>
      </c>
      <c r="F95" s="383" t="s">
        <v>652</v>
      </c>
      <c r="G95" s="383" t="s">
        <v>857</v>
      </c>
      <c r="H95" s="383" t="s">
        <v>666</v>
      </c>
      <c r="I95" s="383" t="s">
        <v>787</v>
      </c>
      <c r="J95" s="383" t="s">
        <v>765</v>
      </c>
      <c r="K95" s="383" t="s">
        <v>799</v>
      </c>
      <c r="L95" s="383" t="s">
        <v>858</v>
      </c>
      <c r="M95" s="383" t="s">
        <v>766</v>
      </c>
      <c r="N95" s="385">
        <f t="shared" si="0"/>
        <v>3.007</v>
      </c>
      <c r="O95" s="393" t="str">
        <f>IF(O$60=10,C95,HLOOKUP($O$60,$D$60:$M$125,36,TRUE))</f>
        <v>3,01</v>
      </c>
      <c r="P95" s="387" t="str">
        <f t="shared" si="1"/>
        <v>2,81</v>
      </c>
    </row>
    <row r="96" spans="1:16" ht="15">
      <c r="A96" s="372" t="s">
        <v>859</v>
      </c>
      <c r="B96" s="373" t="s">
        <v>661</v>
      </c>
      <c r="C96" s="383" t="s">
        <v>756</v>
      </c>
      <c r="D96" s="383" t="s">
        <v>652</v>
      </c>
      <c r="E96" s="383" t="s">
        <v>860</v>
      </c>
      <c r="F96" s="383" t="s">
        <v>861</v>
      </c>
      <c r="G96" s="383" t="s">
        <v>721</v>
      </c>
      <c r="H96" s="383" t="s">
        <v>862</v>
      </c>
      <c r="I96" s="383" t="s">
        <v>689</v>
      </c>
      <c r="J96" s="383" t="s">
        <v>863</v>
      </c>
      <c r="K96" s="383" t="s">
        <v>752</v>
      </c>
      <c r="L96" s="383" t="s">
        <v>659</v>
      </c>
      <c r="M96" s="383" t="s">
        <v>853</v>
      </c>
      <c r="N96" s="385">
        <f t="shared" si="0"/>
        <v>2.278</v>
      </c>
      <c r="O96" s="393" t="str">
        <f>IF(O$60=10,C96,HLOOKUP($O$60,$D$60:$M$125,37,TRUE))</f>
        <v>2,27</v>
      </c>
      <c r="P96" s="387" t="str">
        <f t="shared" si="1"/>
        <v>2,81</v>
      </c>
    </row>
    <row r="97" spans="1:16" ht="15">
      <c r="A97" s="372" t="s">
        <v>864</v>
      </c>
      <c r="B97" s="373" t="s">
        <v>673</v>
      </c>
      <c r="C97" s="383" t="s">
        <v>861</v>
      </c>
      <c r="D97" s="383" t="s">
        <v>865</v>
      </c>
      <c r="E97" s="383" t="s">
        <v>765</v>
      </c>
      <c r="F97" s="383" t="s">
        <v>738</v>
      </c>
      <c r="G97" s="383" t="s">
        <v>866</v>
      </c>
      <c r="H97" s="383" t="s">
        <v>867</v>
      </c>
      <c r="I97" s="383" t="s">
        <v>868</v>
      </c>
      <c r="J97" s="383" t="s">
        <v>732</v>
      </c>
      <c r="K97" s="383" t="s">
        <v>869</v>
      </c>
      <c r="L97" s="383" t="s">
        <v>774</v>
      </c>
      <c r="M97" s="383" t="s">
        <v>870</v>
      </c>
      <c r="N97" s="385">
        <f t="shared" si="0"/>
        <v>1.688</v>
      </c>
      <c r="O97" s="393" t="str">
        <f>IF(O$60=10,C97,HLOOKUP($O$60,$D$60:$M$125,38,TRUE))</f>
        <v>1,67</v>
      </c>
      <c r="P97" s="387" t="str">
        <f t="shared" si="1"/>
        <v>2,81</v>
      </c>
    </row>
    <row r="98" spans="1:16" ht="15">
      <c r="A98" s="372" t="s">
        <v>871</v>
      </c>
      <c r="B98" s="373" t="s">
        <v>684</v>
      </c>
      <c r="C98" s="383" t="s">
        <v>697</v>
      </c>
      <c r="D98" s="383" t="s">
        <v>678</v>
      </c>
      <c r="E98" s="383" t="s">
        <v>771</v>
      </c>
      <c r="F98" s="383" t="s">
        <v>699</v>
      </c>
      <c r="G98" s="383" t="s">
        <v>751</v>
      </c>
      <c r="H98" s="383" t="s">
        <v>731</v>
      </c>
      <c r="I98" s="383" t="s">
        <v>872</v>
      </c>
      <c r="J98" s="383" t="s">
        <v>852</v>
      </c>
      <c r="K98" s="383" t="s">
        <v>826</v>
      </c>
      <c r="L98" s="383" t="s">
        <v>873</v>
      </c>
      <c r="M98" s="383" t="s">
        <v>841</v>
      </c>
      <c r="N98" s="385">
        <f t="shared" si="0"/>
        <v>1.501</v>
      </c>
      <c r="O98" s="393" t="str">
        <f>IF(O$60=10,C98,HLOOKUP($O$60,$D$60:$M$125,39,TRUE))</f>
        <v>1,48</v>
      </c>
      <c r="P98" s="387" t="str">
        <f t="shared" si="1"/>
        <v>2,81</v>
      </c>
    </row>
    <row r="99" spans="1:16" ht="15">
      <c r="A99" s="372" t="s">
        <v>874</v>
      </c>
      <c r="B99" s="373" t="s">
        <v>695</v>
      </c>
      <c r="C99" s="383" t="s">
        <v>678</v>
      </c>
      <c r="D99" s="383" t="s">
        <v>798</v>
      </c>
      <c r="E99" s="383" t="s">
        <v>823</v>
      </c>
      <c r="F99" s="383" t="s">
        <v>690</v>
      </c>
      <c r="G99" s="383" t="s">
        <v>691</v>
      </c>
      <c r="H99" s="383" t="s">
        <v>875</v>
      </c>
      <c r="I99" s="383" t="s">
        <v>700</v>
      </c>
      <c r="J99" s="383" t="s">
        <v>700</v>
      </c>
      <c r="K99" s="383" t="s">
        <v>700</v>
      </c>
      <c r="L99" s="383" t="s">
        <v>700</v>
      </c>
      <c r="M99" s="383" t="s">
        <v>700</v>
      </c>
      <c r="N99" s="385">
        <f t="shared" si="0"/>
        <v>1.392</v>
      </c>
      <c r="O99" s="393" t="str">
        <f>IF(O$60=10,C99,HLOOKUP($O$60,$D$60:$M$125,40,TRUE))</f>
        <v>1,37</v>
      </c>
      <c r="P99" s="387" t="str">
        <f t="shared" si="1"/>
        <v>2,81</v>
      </c>
    </row>
    <row r="100" spans="1:16" ht="15">
      <c r="A100" s="372">
        <v>4</v>
      </c>
      <c r="B100" s="389" t="s">
        <v>479</v>
      </c>
      <c r="C100" s="394"/>
      <c r="D100" s="394"/>
      <c r="E100" s="394"/>
      <c r="F100" s="394"/>
      <c r="G100" s="394"/>
      <c r="H100" s="394"/>
      <c r="I100" s="394"/>
      <c r="J100" s="394"/>
      <c r="K100" s="394"/>
      <c r="L100" s="394"/>
      <c r="M100" s="395"/>
      <c r="N100" s="383"/>
      <c r="O100" s="396"/>
      <c r="P100" s="383"/>
    </row>
    <row r="101" spans="1:16" ht="15">
      <c r="A101" s="372" t="s">
        <v>876</v>
      </c>
      <c r="B101" s="389" t="s">
        <v>646</v>
      </c>
      <c r="C101" s="394"/>
      <c r="D101" s="394"/>
      <c r="E101" s="394"/>
      <c r="F101" s="394"/>
      <c r="G101" s="394"/>
      <c r="H101" s="394"/>
      <c r="I101" s="394"/>
      <c r="J101" s="394"/>
      <c r="K101" s="394"/>
      <c r="L101" s="394"/>
      <c r="M101" s="395"/>
      <c r="N101" s="383"/>
      <c r="O101" s="396"/>
      <c r="P101" s="383"/>
    </row>
    <row r="102" spans="1:16" ht="15">
      <c r="A102" s="372" t="s">
        <v>877</v>
      </c>
      <c r="B102" s="373" t="s">
        <v>648</v>
      </c>
      <c r="C102" s="383" t="s">
        <v>878</v>
      </c>
      <c r="D102" s="383" t="s">
        <v>879</v>
      </c>
      <c r="E102" s="383" t="s">
        <v>880</v>
      </c>
      <c r="F102" s="383" t="s">
        <v>729</v>
      </c>
      <c r="G102" s="383" t="s">
        <v>860</v>
      </c>
      <c r="H102" s="383" t="s">
        <v>750</v>
      </c>
      <c r="I102" s="383" t="s">
        <v>698</v>
      </c>
      <c r="J102" s="383" t="s">
        <v>830</v>
      </c>
      <c r="K102" s="383" t="s">
        <v>868</v>
      </c>
      <c r="L102" s="383" t="s">
        <v>766</v>
      </c>
      <c r="M102" s="383" t="s">
        <v>761</v>
      </c>
      <c r="N102" s="385">
        <f t="shared" si="0"/>
        <v>2.977</v>
      </c>
      <c r="O102" s="393" t="str">
        <f>IF(O$60=10,C102,HLOOKUP($O$60,$D$60:$M$125,43,TRUE))</f>
        <v>2,98</v>
      </c>
      <c r="P102" s="387" t="str">
        <f t="shared" si="1"/>
        <v>2,81</v>
      </c>
    </row>
    <row r="103" spans="1:16" ht="15">
      <c r="A103" s="372" t="s">
        <v>881</v>
      </c>
      <c r="B103" s="373" t="s">
        <v>661</v>
      </c>
      <c r="C103" s="383" t="s">
        <v>882</v>
      </c>
      <c r="D103" s="383" t="s">
        <v>651</v>
      </c>
      <c r="E103" s="383" t="s">
        <v>812</v>
      </c>
      <c r="F103" s="383" t="s">
        <v>666</v>
      </c>
      <c r="G103" s="383" t="s">
        <v>807</v>
      </c>
      <c r="H103" s="383" t="s">
        <v>829</v>
      </c>
      <c r="I103" s="383" t="s">
        <v>771</v>
      </c>
      <c r="J103" s="383" t="s">
        <v>799</v>
      </c>
      <c r="K103" s="383" t="s">
        <v>838</v>
      </c>
      <c r="L103" s="383" t="s">
        <v>852</v>
      </c>
      <c r="M103" s="383" t="s">
        <v>883</v>
      </c>
      <c r="N103" s="385">
        <f t="shared" si="0"/>
        <v>2.702</v>
      </c>
      <c r="O103" s="393" t="str">
        <f>IF(O$60=10,C103,HLOOKUP($O$60,$D$60:$M$125,44,TRUE))</f>
        <v>2,70</v>
      </c>
      <c r="P103" s="387" t="str">
        <f t="shared" si="1"/>
        <v>2,81</v>
      </c>
    </row>
    <row r="104" spans="1:16" ht="15">
      <c r="A104" s="372" t="s">
        <v>884</v>
      </c>
      <c r="B104" s="373" t="s">
        <v>673</v>
      </c>
      <c r="C104" s="383" t="s">
        <v>735</v>
      </c>
      <c r="D104" s="383" t="s">
        <v>664</v>
      </c>
      <c r="E104" s="383" t="s">
        <v>885</v>
      </c>
      <c r="F104" s="383" t="s">
        <v>730</v>
      </c>
      <c r="G104" s="383" t="s">
        <v>721</v>
      </c>
      <c r="H104" s="383" t="s">
        <v>668</v>
      </c>
      <c r="I104" s="383" t="s">
        <v>669</v>
      </c>
      <c r="J104" s="383" t="s">
        <v>849</v>
      </c>
      <c r="K104" s="383" t="s">
        <v>886</v>
      </c>
      <c r="L104" s="383" t="s">
        <v>853</v>
      </c>
      <c r="M104" s="383" t="s">
        <v>774</v>
      </c>
      <c r="N104" s="385">
        <f t="shared" si="0"/>
        <v>2.485</v>
      </c>
      <c r="O104" s="393" t="str">
        <f>IF(O$60=10,C104,HLOOKUP($O$60,$D$60:$M$125,45,TRUE))</f>
        <v>2,48</v>
      </c>
      <c r="P104" s="387" t="str">
        <f t="shared" si="1"/>
        <v>2,81</v>
      </c>
    </row>
    <row r="105" spans="1:16" ht="15">
      <c r="A105" s="372" t="s">
        <v>887</v>
      </c>
      <c r="B105" s="373" t="s">
        <v>684</v>
      </c>
      <c r="C105" s="383" t="s">
        <v>880</v>
      </c>
      <c r="D105" s="383" t="s">
        <v>806</v>
      </c>
      <c r="E105" s="383" t="s">
        <v>757</v>
      </c>
      <c r="F105" s="383" t="s">
        <v>688</v>
      </c>
      <c r="G105" s="383" t="s">
        <v>777</v>
      </c>
      <c r="H105" s="383" t="s">
        <v>699</v>
      </c>
      <c r="I105" s="383" t="s">
        <v>722</v>
      </c>
      <c r="J105" s="383" t="s">
        <v>838</v>
      </c>
      <c r="K105" s="383" t="s">
        <v>852</v>
      </c>
      <c r="L105" s="383" t="s">
        <v>845</v>
      </c>
      <c r="M105" s="383" t="s">
        <v>888</v>
      </c>
      <c r="N105" s="385">
        <f t="shared" si="0"/>
        <v>2.21</v>
      </c>
      <c r="O105" s="393" t="str">
        <f>IF(O$60=10,C105,HLOOKUP($O$60,$D$60:$M$125,46,TRUE))</f>
        <v>2,20</v>
      </c>
      <c r="P105" s="387" t="str">
        <f t="shared" si="1"/>
        <v>2,81</v>
      </c>
    </row>
    <row r="106" spans="1:16" ht="15">
      <c r="A106" s="372" t="s">
        <v>889</v>
      </c>
      <c r="B106" s="373" t="s">
        <v>695</v>
      </c>
      <c r="C106" s="383" t="s">
        <v>686</v>
      </c>
      <c r="D106" s="383" t="s">
        <v>787</v>
      </c>
      <c r="E106" s="383" t="s">
        <v>770</v>
      </c>
      <c r="F106" s="383" t="s">
        <v>890</v>
      </c>
      <c r="G106" s="383" t="s">
        <v>867</v>
      </c>
      <c r="H106" s="383" t="s">
        <v>670</v>
      </c>
      <c r="I106" s="383" t="s">
        <v>692</v>
      </c>
      <c r="J106" s="383" t="s">
        <v>700</v>
      </c>
      <c r="K106" s="383" t="s">
        <v>700</v>
      </c>
      <c r="L106" s="383" t="s">
        <v>700</v>
      </c>
      <c r="M106" s="383" t="s">
        <v>700</v>
      </c>
      <c r="N106" s="385">
        <f t="shared" si="0"/>
        <v>1.757</v>
      </c>
      <c r="O106" s="393" t="str">
        <f>IF(O$60=10,C106,HLOOKUP($O$60,$D$60:$M$125,47,TRUE))</f>
        <v>1,74</v>
      </c>
      <c r="P106" s="387" t="str">
        <f t="shared" si="1"/>
        <v>2,81</v>
      </c>
    </row>
    <row r="107" spans="1:16" ht="15">
      <c r="A107" s="372" t="s">
        <v>891</v>
      </c>
      <c r="B107" s="389" t="s">
        <v>702</v>
      </c>
      <c r="C107" s="394"/>
      <c r="D107" s="394"/>
      <c r="E107" s="394"/>
      <c r="F107" s="394"/>
      <c r="G107" s="394"/>
      <c r="H107" s="394"/>
      <c r="I107" s="394"/>
      <c r="J107" s="394"/>
      <c r="K107" s="394"/>
      <c r="L107" s="394"/>
      <c r="M107" s="395"/>
      <c r="N107" s="383"/>
      <c r="O107" s="396"/>
      <c r="P107" s="383"/>
    </row>
    <row r="108" spans="1:16" ht="15">
      <c r="A108" s="372" t="s">
        <v>892</v>
      </c>
      <c r="B108" s="373" t="s">
        <v>648</v>
      </c>
      <c r="C108" s="383" t="s">
        <v>893</v>
      </c>
      <c r="D108" s="383" t="s">
        <v>894</v>
      </c>
      <c r="E108" s="383" t="s">
        <v>895</v>
      </c>
      <c r="F108" s="383" t="s">
        <v>896</v>
      </c>
      <c r="G108" s="383" t="s">
        <v>879</v>
      </c>
      <c r="H108" s="383" t="s">
        <v>897</v>
      </c>
      <c r="I108" s="383" t="s">
        <v>898</v>
      </c>
      <c r="J108" s="383" t="s">
        <v>899</v>
      </c>
      <c r="K108" s="383" t="s">
        <v>668</v>
      </c>
      <c r="L108" s="383" t="s">
        <v>831</v>
      </c>
      <c r="M108" s="383" t="s">
        <v>691</v>
      </c>
      <c r="N108" s="385">
        <f t="shared" si="0"/>
        <v>4.267</v>
      </c>
      <c r="O108" s="393" t="str">
        <f>IF(O$60=10,C108,HLOOKUP($O$60,$D$60:$M$125,49,TRUE))</f>
        <v>4,29</v>
      </c>
      <c r="P108" s="387" t="str">
        <f t="shared" si="1"/>
        <v>2,81</v>
      </c>
    </row>
    <row r="109" spans="1:16" ht="15">
      <c r="A109" s="372" t="s">
        <v>900</v>
      </c>
      <c r="B109" s="373" t="s">
        <v>661</v>
      </c>
      <c r="C109" s="383" t="s">
        <v>901</v>
      </c>
      <c r="D109" s="383" t="s">
        <v>902</v>
      </c>
      <c r="E109" s="383" t="s">
        <v>903</v>
      </c>
      <c r="F109" s="383" t="s">
        <v>718</v>
      </c>
      <c r="G109" s="383" t="s">
        <v>651</v>
      </c>
      <c r="H109" s="383" t="s">
        <v>904</v>
      </c>
      <c r="I109" s="383" t="s">
        <v>905</v>
      </c>
      <c r="J109" s="383" t="s">
        <v>688</v>
      </c>
      <c r="K109" s="383" t="s">
        <v>866</v>
      </c>
      <c r="L109" s="383" t="s">
        <v>868</v>
      </c>
      <c r="M109" s="383" t="s">
        <v>844</v>
      </c>
      <c r="N109" s="385">
        <f t="shared" si="0"/>
        <v>3.873</v>
      </c>
      <c r="O109" s="393" t="str">
        <f>IF(O$60=10,C109,HLOOKUP($O$60,$D$60:$M$125,50,TRUE))</f>
        <v>3,89</v>
      </c>
      <c r="P109" s="387" t="str">
        <f t="shared" si="1"/>
        <v>2,81</v>
      </c>
    </row>
    <row r="110" spans="1:16" ht="15">
      <c r="A110" s="372" t="s">
        <v>906</v>
      </c>
      <c r="B110" s="373" t="s">
        <v>673</v>
      </c>
      <c r="C110" s="383" t="s">
        <v>907</v>
      </c>
      <c r="D110" s="383" t="s">
        <v>908</v>
      </c>
      <c r="E110" s="383" t="s">
        <v>909</v>
      </c>
      <c r="F110" s="383" t="s">
        <v>728</v>
      </c>
      <c r="G110" s="383" t="s">
        <v>652</v>
      </c>
      <c r="H110" s="383" t="s">
        <v>910</v>
      </c>
      <c r="I110" s="383" t="s">
        <v>697</v>
      </c>
      <c r="J110" s="383" t="s">
        <v>815</v>
      </c>
      <c r="K110" s="383" t="s">
        <v>911</v>
      </c>
      <c r="L110" s="383" t="s">
        <v>851</v>
      </c>
      <c r="M110" s="383" t="s">
        <v>761</v>
      </c>
      <c r="N110" s="385">
        <f t="shared" si="0"/>
        <v>3.519</v>
      </c>
      <c r="O110" s="393" t="str">
        <f>IF(O$60=10,C110,HLOOKUP($O$60,$D$60:$M$125,51,TRUE))</f>
        <v>3,53</v>
      </c>
      <c r="P110" s="387" t="str">
        <f t="shared" si="1"/>
        <v>2,81</v>
      </c>
    </row>
    <row r="111" spans="1:16" ht="15">
      <c r="A111" s="372" t="s">
        <v>912</v>
      </c>
      <c r="B111" s="373" t="s">
        <v>684</v>
      </c>
      <c r="C111" s="383" t="s">
        <v>802</v>
      </c>
      <c r="D111" s="383" t="s">
        <v>856</v>
      </c>
      <c r="E111" s="383" t="s">
        <v>913</v>
      </c>
      <c r="F111" s="383" t="s">
        <v>685</v>
      </c>
      <c r="G111" s="383" t="s">
        <v>813</v>
      </c>
      <c r="H111" s="383" t="s">
        <v>787</v>
      </c>
      <c r="I111" s="383" t="s">
        <v>914</v>
      </c>
      <c r="J111" s="383" t="s">
        <v>866</v>
      </c>
      <c r="K111" s="383" t="s">
        <v>691</v>
      </c>
      <c r="L111" s="383" t="s">
        <v>839</v>
      </c>
      <c r="M111" s="383" t="s">
        <v>825</v>
      </c>
      <c r="N111" s="385">
        <f t="shared" si="0"/>
        <v>3.125</v>
      </c>
      <c r="O111" s="393" t="str">
        <f>IF(O$60=10,C111,HLOOKUP($O$60,$D$60:$M$125,52,TRUE))</f>
        <v>3,13</v>
      </c>
      <c r="P111" s="387" t="str">
        <f t="shared" si="1"/>
        <v>2,81</v>
      </c>
    </row>
    <row r="112" spans="1:16" ht="15">
      <c r="A112" s="372" t="s">
        <v>915</v>
      </c>
      <c r="B112" s="373" t="s">
        <v>695</v>
      </c>
      <c r="C112" s="383" t="s">
        <v>735</v>
      </c>
      <c r="D112" s="383" t="s">
        <v>916</v>
      </c>
      <c r="E112" s="383" t="s">
        <v>917</v>
      </c>
      <c r="F112" s="383" t="s">
        <v>730</v>
      </c>
      <c r="G112" s="383" t="s">
        <v>918</v>
      </c>
      <c r="H112" s="383" t="s">
        <v>778</v>
      </c>
      <c r="I112" s="383" t="s">
        <v>700</v>
      </c>
      <c r="J112" s="383" t="s">
        <v>700</v>
      </c>
      <c r="K112" s="383" t="s">
        <v>700</v>
      </c>
      <c r="L112" s="383" t="s">
        <v>919</v>
      </c>
      <c r="M112" s="383" t="s">
        <v>700</v>
      </c>
      <c r="N112" s="385">
        <f t="shared" si="0"/>
        <v>2.485</v>
      </c>
      <c r="O112" s="393" t="str">
        <f>IF(O$60=10,C112,HLOOKUP($O$60,$D$60:$M$125,53,TRUE))</f>
        <v>2,48</v>
      </c>
      <c r="P112" s="387" t="str">
        <f t="shared" si="1"/>
        <v>2,81</v>
      </c>
    </row>
    <row r="113" spans="1:16" ht="15">
      <c r="A113" s="372">
        <v>5</v>
      </c>
      <c r="B113" s="389" t="s">
        <v>486</v>
      </c>
      <c r="C113" s="394"/>
      <c r="D113" s="394"/>
      <c r="E113" s="394"/>
      <c r="F113" s="394"/>
      <c r="G113" s="394"/>
      <c r="H113" s="394"/>
      <c r="I113" s="394"/>
      <c r="J113" s="394"/>
      <c r="K113" s="394"/>
      <c r="L113" s="394"/>
      <c r="M113" s="395"/>
      <c r="N113" s="383"/>
      <c r="O113" s="396"/>
      <c r="P113" s="383"/>
    </row>
    <row r="114" spans="1:16" ht="15">
      <c r="A114" s="372" t="s">
        <v>920</v>
      </c>
      <c r="B114" s="389" t="s">
        <v>646</v>
      </c>
      <c r="C114" s="394"/>
      <c r="D114" s="394"/>
      <c r="E114" s="394"/>
      <c r="F114" s="394"/>
      <c r="G114" s="394"/>
      <c r="H114" s="394"/>
      <c r="I114" s="394"/>
      <c r="J114" s="394"/>
      <c r="K114" s="394"/>
      <c r="L114" s="394"/>
      <c r="M114" s="395"/>
      <c r="N114" s="383"/>
      <c r="O114" s="396"/>
      <c r="P114" s="383"/>
    </row>
    <row r="115" spans="1:16" ht="15">
      <c r="A115" s="372" t="s">
        <v>921</v>
      </c>
      <c r="B115" s="373" t="s">
        <v>648</v>
      </c>
      <c r="C115" s="383" t="s">
        <v>922</v>
      </c>
      <c r="D115" s="383" t="s">
        <v>665</v>
      </c>
      <c r="E115" s="383" t="s">
        <v>923</v>
      </c>
      <c r="F115" s="383" t="s">
        <v>697</v>
      </c>
      <c r="G115" s="383" t="s">
        <v>655</v>
      </c>
      <c r="H115" s="383" t="s">
        <v>778</v>
      </c>
      <c r="I115" s="383" t="s">
        <v>751</v>
      </c>
      <c r="J115" s="383" t="s">
        <v>691</v>
      </c>
      <c r="K115" s="383" t="s">
        <v>659</v>
      </c>
      <c r="L115" s="383" t="s">
        <v>593</v>
      </c>
      <c r="M115" s="383" t="s">
        <v>845</v>
      </c>
      <c r="N115" s="385">
        <f t="shared" si="0"/>
        <v>2.229</v>
      </c>
      <c r="O115" s="393" t="str">
        <f>IF(O$60=10,C115,HLOOKUP($O$60,$D$60:$M$125,56,TRUE))</f>
        <v>2,22</v>
      </c>
      <c r="P115" s="387" t="str">
        <f t="shared" si="1"/>
        <v>2,81</v>
      </c>
    </row>
    <row r="116" spans="1:16" ht="15">
      <c r="A116" s="372" t="s">
        <v>924</v>
      </c>
      <c r="B116" s="373" t="s">
        <v>661</v>
      </c>
      <c r="C116" s="383" t="s">
        <v>925</v>
      </c>
      <c r="D116" s="383" t="s">
        <v>860</v>
      </c>
      <c r="E116" s="383" t="s">
        <v>926</v>
      </c>
      <c r="F116" s="383" t="s">
        <v>862</v>
      </c>
      <c r="G116" s="383" t="s">
        <v>711</v>
      </c>
      <c r="H116" s="383" t="s">
        <v>788</v>
      </c>
      <c r="I116" s="383" t="s">
        <v>722</v>
      </c>
      <c r="J116" s="383" t="s">
        <v>858</v>
      </c>
      <c r="K116" s="383" t="s">
        <v>767</v>
      </c>
      <c r="L116" s="383" t="s">
        <v>840</v>
      </c>
      <c r="M116" s="383" t="s">
        <v>873</v>
      </c>
      <c r="N116" s="385">
        <f t="shared" si="0"/>
        <v>2.101</v>
      </c>
      <c r="O116" s="393" t="str">
        <f>IF(O$60=10,C116,HLOOKUP($O$60,$D$60:$M$125,57,TRUE))</f>
        <v>2,09</v>
      </c>
      <c r="P116" s="387" t="str">
        <f t="shared" si="1"/>
        <v>2,81</v>
      </c>
    </row>
    <row r="117" spans="1:16" ht="15">
      <c r="A117" s="372" t="s">
        <v>927</v>
      </c>
      <c r="B117" s="373" t="s">
        <v>673</v>
      </c>
      <c r="C117" s="383" t="s">
        <v>743</v>
      </c>
      <c r="D117" s="383" t="s">
        <v>677</v>
      </c>
      <c r="E117" s="383" t="s">
        <v>655</v>
      </c>
      <c r="F117" s="383" t="s">
        <v>668</v>
      </c>
      <c r="G117" s="383" t="s">
        <v>830</v>
      </c>
      <c r="H117" s="383" t="s">
        <v>713</v>
      </c>
      <c r="I117" s="383" t="s">
        <v>928</v>
      </c>
      <c r="J117" s="383" t="s">
        <v>766</v>
      </c>
      <c r="K117" s="383" t="s">
        <v>773</v>
      </c>
      <c r="L117" s="383" t="s">
        <v>833</v>
      </c>
      <c r="M117" s="383" t="s">
        <v>841</v>
      </c>
      <c r="N117" s="385">
        <f t="shared" si="0"/>
        <v>1.875</v>
      </c>
      <c r="O117" s="393" t="str">
        <f>IF(O$60=10,C117,HLOOKUP($O$60,$D$60:$M$125,58,TRUE))</f>
        <v>1,86</v>
      </c>
      <c r="P117" s="387" t="str">
        <f t="shared" si="1"/>
        <v>2,81</v>
      </c>
    </row>
    <row r="118" spans="1:16" ht="15">
      <c r="A118" s="372" t="s">
        <v>929</v>
      </c>
      <c r="B118" s="373" t="s">
        <v>684</v>
      </c>
      <c r="C118" s="383" t="s">
        <v>677</v>
      </c>
      <c r="D118" s="383" t="s">
        <v>829</v>
      </c>
      <c r="E118" s="383" t="s">
        <v>836</v>
      </c>
      <c r="F118" s="383" t="s">
        <v>930</v>
      </c>
      <c r="G118" s="383" t="s">
        <v>751</v>
      </c>
      <c r="H118" s="383" t="s">
        <v>670</v>
      </c>
      <c r="I118" s="383" t="s">
        <v>753</v>
      </c>
      <c r="J118" s="383" t="s">
        <v>869</v>
      </c>
      <c r="K118" s="383" t="s">
        <v>931</v>
      </c>
      <c r="L118" s="383" t="s">
        <v>841</v>
      </c>
      <c r="M118" s="383" t="s">
        <v>842</v>
      </c>
      <c r="N118" s="385">
        <f t="shared" si="0"/>
        <v>1.639</v>
      </c>
      <c r="O118" s="393" t="str">
        <f>IF(O$60=10,C118,HLOOKUP($O$60,$D$60:$M$125,59,TRUE))</f>
        <v>1,62</v>
      </c>
      <c r="P118" s="387" t="str">
        <f t="shared" si="1"/>
        <v>2,81</v>
      </c>
    </row>
    <row r="119" spans="1:16" ht="15">
      <c r="A119" s="372" t="s">
        <v>932</v>
      </c>
      <c r="B119" s="373" t="s">
        <v>695</v>
      </c>
      <c r="C119" s="383" t="s">
        <v>933</v>
      </c>
      <c r="D119" s="383" t="s">
        <v>934</v>
      </c>
      <c r="E119" s="383" t="s">
        <v>867</v>
      </c>
      <c r="F119" s="383" t="s">
        <v>824</v>
      </c>
      <c r="G119" s="383" t="s">
        <v>670</v>
      </c>
      <c r="H119" s="383" t="s">
        <v>753</v>
      </c>
      <c r="I119" s="383" t="s">
        <v>761</v>
      </c>
      <c r="J119" s="383" t="s">
        <v>700</v>
      </c>
      <c r="K119" s="383" t="s">
        <v>700</v>
      </c>
      <c r="L119" s="383" t="s">
        <v>700</v>
      </c>
      <c r="M119" s="383" t="s">
        <v>700</v>
      </c>
      <c r="N119" s="385">
        <f t="shared" si="0"/>
        <v>1.471</v>
      </c>
      <c r="O119" s="393" t="str">
        <f>IF(O$60=10,C119,HLOOKUP($O$60,$D$60:$M$125,60,TRUE))</f>
        <v>1,45</v>
      </c>
      <c r="P119" s="387" t="str">
        <f t="shared" si="1"/>
        <v>2,81</v>
      </c>
    </row>
    <row r="120" spans="1:16" ht="15">
      <c r="A120" s="372" t="s">
        <v>935</v>
      </c>
      <c r="B120" s="389" t="s">
        <v>702</v>
      </c>
      <c r="C120" s="394"/>
      <c r="D120" s="394"/>
      <c r="E120" s="394"/>
      <c r="F120" s="394"/>
      <c r="G120" s="394"/>
      <c r="H120" s="394"/>
      <c r="I120" s="394"/>
      <c r="J120" s="394"/>
      <c r="K120" s="394"/>
      <c r="L120" s="394"/>
      <c r="M120" s="395"/>
      <c r="N120" s="383"/>
      <c r="O120" s="396"/>
      <c r="P120" s="383"/>
    </row>
    <row r="121" spans="1:16" ht="15">
      <c r="A121" s="372" t="s">
        <v>936</v>
      </c>
      <c r="B121" s="373" t="s">
        <v>648</v>
      </c>
      <c r="C121" s="383" t="s">
        <v>937</v>
      </c>
      <c r="D121" s="383" t="s">
        <v>938</v>
      </c>
      <c r="E121" s="383" t="s">
        <v>939</v>
      </c>
      <c r="F121" s="383" t="s">
        <v>748</v>
      </c>
      <c r="G121" s="383" t="s">
        <v>857</v>
      </c>
      <c r="H121" s="383" t="s">
        <v>940</v>
      </c>
      <c r="I121" s="383" t="s">
        <v>829</v>
      </c>
      <c r="J121" s="383" t="s">
        <v>836</v>
      </c>
      <c r="K121" s="383" t="s">
        <v>722</v>
      </c>
      <c r="L121" s="383" t="s">
        <v>753</v>
      </c>
      <c r="M121" s="383" t="s">
        <v>739</v>
      </c>
      <c r="N121" s="385">
        <f t="shared" si="0"/>
        <v>3.223</v>
      </c>
      <c r="O121" s="393" t="str">
        <f>IF(O$60=10,C121,HLOOKUP($O$60,$D$60:$M$125,62,TRUE))</f>
        <v>3,23</v>
      </c>
      <c r="P121" s="387" t="str">
        <f t="shared" si="1"/>
        <v>2,81</v>
      </c>
    </row>
    <row r="122" spans="1:16" ht="15">
      <c r="A122" s="372" t="s">
        <v>941</v>
      </c>
      <c r="B122" s="373" t="s">
        <v>661</v>
      </c>
      <c r="C122" s="383" t="s">
        <v>784</v>
      </c>
      <c r="D122" s="383" t="s">
        <v>942</v>
      </c>
      <c r="E122" s="383" t="s">
        <v>897</v>
      </c>
      <c r="F122" s="383" t="s">
        <v>812</v>
      </c>
      <c r="G122" s="383" t="s">
        <v>917</v>
      </c>
      <c r="H122" s="383" t="s">
        <v>943</v>
      </c>
      <c r="I122" s="383" t="s">
        <v>711</v>
      </c>
      <c r="J122" s="383" t="s">
        <v>930</v>
      </c>
      <c r="K122" s="383" t="s">
        <v>752</v>
      </c>
      <c r="L122" s="383" t="s">
        <v>761</v>
      </c>
      <c r="M122" s="383" t="s">
        <v>853</v>
      </c>
      <c r="N122" s="385">
        <f t="shared" si="0"/>
        <v>3.007</v>
      </c>
      <c r="O122" s="393" t="str">
        <f>IF(O$60=10,C122,HLOOKUP($O$60,$D$60:$M$125,63,TRUE))</f>
        <v>3,01</v>
      </c>
      <c r="P122" s="387" t="str">
        <f t="shared" si="1"/>
        <v>2,81</v>
      </c>
    </row>
    <row r="123" spans="1:16" ht="15">
      <c r="A123" s="372" t="s">
        <v>944</v>
      </c>
      <c r="B123" s="373" t="s">
        <v>673</v>
      </c>
      <c r="C123" s="383" t="s">
        <v>945</v>
      </c>
      <c r="D123" s="383" t="s">
        <v>675</v>
      </c>
      <c r="E123" s="383" t="s">
        <v>946</v>
      </c>
      <c r="F123" s="383" t="s">
        <v>676</v>
      </c>
      <c r="G123" s="383" t="s">
        <v>899</v>
      </c>
      <c r="H123" s="383" t="s">
        <v>765</v>
      </c>
      <c r="I123" s="383" t="s">
        <v>778</v>
      </c>
      <c r="J123" s="383" t="s">
        <v>824</v>
      </c>
      <c r="K123" s="383" t="s">
        <v>753</v>
      </c>
      <c r="L123" s="383" t="s">
        <v>825</v>
      </c>
      <c r="M123" s="383" t="s">
        <v>845</v>
      </c>
      <c r="N123" s="385">
        <f t="shared" si="0"/>
        <v>2.682</v>
      </c>
      <c r="O123" s="393" t="str">
        <f>IF(O$60=10,C123,HLOOKUP($O$60,$D$60:$M$125,64,TRUE))</f>
        <v>2,68</v>
      </c>
      <c r="P123" s="387" t="str">
        <f t="shared" si="1"/>
        <v>2,81</v>
      </c>
    </row>
    <row r="124" spans="1:16" ht="15">
      <c r="A124" s="372" t="s">
        <v>947</v>
      </c>
      <c r="B124" s="373" t="s">
        <v>684</v>
      </c>
      <c r="C124" s="383" t="s">
        <v>651</v>
      </c>
      <c r="D124" s="383" t="s">
        <v>796</v>
      </c>
      <c r="E124" s="383" t="s">
        <v>819</v>
      </c>
      <c r="F124" s="383" t="s">
        <v>865</v>
      </c>
      <c r="G124" s="383" t="s">
        <v>829</v>
      </c>
      <c r="H124" s="383" t="s">
        <v>656</v>
      </c>
      <c r="I124" s="383" t="s">
        <v>799</v>
      </c>
      <c r="J124" s="383" t="s">
        <v>832</v>
      </c>
      <c r="K124" s="383" t="s">
        <v>659</v>
      </c>
      <c r="L124" s="383" t="s">
        <v>693</v>
      </c>
      <c r="M124" s="383" t="s">
        <v>870</v>
      </c>
      <c r="N124" s="385">
        <f t="shared" si="0"/>
        <v>2.367</v>
      </c>
      <c r="O124" s="393" t="str">
        <f>IF(O$60=10,C124,HLOOKUP($O$60,$D$60:$M$125,65,TRUE))</f>
        <v>2,36</v>
      </c>
      <c r="P124" s="387" t="str">
        <f t="shared" si="1"/>
        <v>2,81</v>
      </c>
    </row>
    <row r="125" spans="1:16" ht="15">
      <c r="A125" s="372" t="s">
        <v>948</v>
      </c>
      <c r="B125" s="373" t="s">
        <v>695</v>
      </c>
      <c r="C125" s="383" t="s">
        <v>685</v>
      </c>
      <c r="D125" s="383" t="s">
        <v>720</v>
      </c>
      <c r="E125" s="383" t="s">
        <v>943</v>
      </c>
      <c r="F125" s="383" t="s">
        <v>949</v>
      </c>
      <c r="G125" s="383" t="s">
        <v>950</v>
      </c>
      <c r="H125" s="383" t="s">
        <v>690</v>
      </c>
      <c r="I125" s="383" t="s">
        <v>700</v>
      </c>
      <c r="J125" s="383" t="s">
        <v>700</v>
      </c>
      <c r="K125" s="383" t="s">
        <v>700</v>
      </c>
      <c r="L125" s="383" t="s">
        <v>700</v>
      </c>
      <c r="M125" s="383" t="s">
        <v>700</v>
      </c>
      <c r="N125" s="385">
        <f t="shared" si="0"/>
        <v>2.082</v>
      </c>
      <c r="O125" s="393" t="str">
        <f>IF(O$60=10,C125,HLOOKUP($O$60,$D$60:$M$125,66,TRUE))</f>
        <v>2,07</v>
      </c>
      <c r="P125" s="387" t="str">
        <f t="shared" si="1"/>
        <v>2,81</v>
      </c>
    </row>
    <row r="126" spans="1:16" ht="15" hidden="1">
      <c r="A126" s="354" t="s">
        <v>951</v>
      </c>
      <c r="N126" s="397"/>
      <c r="O126" s="379"/>
      <c r="P126" s="377"/>
    </row>
    <row r="127" ht="15"/>
    <row r="128" spans="1:13" ht="15">
      <c r="A128" s="701" t="s">
        <v>952</v>
      </c>
      <c r="B128" s="701"/>
      <c r="C128" s="701"/>
      <c r="D128" s="701"/>
      <c r="E128" s="701"/>
      <c r="F128" s="701"/>
      <c r="G128" s="701"/>
      <c r="H128" s="701"/>
      <c r="I128" s="701"/>
      <c r="J128" s="701"/>
      <c r="K128" s="701"/>
      <c r="L128" s="701"/>
      <c r="M128" s="701"/>
    </row>
    <row r="129" spans="11:14" ht="15">
      <c r="K129" s="707" t="s">
        <v>448</v>
      </c>
      <c r="L129" s="707"/>
      <c r="M129" s="707"/>
      <c r="N129" s="707"/>
    </row>
    <row r="130" spans="1:14" ht="15" hidden="1">
      <c r="A130" s="354" t="s">
        <v>953</v>
      </c>
      <c r="N130" s="354" t="s">
        <v>450</v>
      </c>
    </row>
    <row r="131" spans="1:17" ht="15">
      <c r="A131" s="705" t="s">
        <v>451</v>
      </c>
      <c r="B131" s="705" t="s">
        <v>452</v>
      </c>
      <c r="C131" s="705" t="s">
        <v>954</v>
      </c>
      <c r="D131" s="705"/>
      <c r="E131" s="705"/>
      <c r="F131" s="705"/>
      <c r="G131" s="705"/>
      <c r="H131" s="705"/>
      <c r="I131" s="705"/>
      <c r="J131" s="705"/>
      <c r="K131" s="705"/>
      <c r="L131" s="705"/>
      <c r="M131" s="705"/>
      <c r="N131" s="705"/>
      <c r="O131" s="367" t="s">
        <v>454</v>
      </c>
      <c r="P131" s="368" t="s">
        <v>455</v>
      </c>
      <c r="Q131" s="369" t="s">
        <v>456</v>
      </c>
    </row>
    <row r="132" spans="1:17" ht="15">
      <c r="A132" s="705"/>
      <c r="B132" s="705"/>
      <c r="C132" s="370" t="s">
        <v>496</v>
      </c>
      <c r="D132" s="370">
        <v>20</v>
      </c>
      <c r="E132" s="370">
        <v>50</v>
      </c>
      <c r="F132" s="370">
        <v>100</v>
      </c>
      <c r="G132" s="370">
        <v>200</v>
      </c>
      <c r="H132" s="370">
        <v>500</v>
      </c>
      <c r="I132" s="371">
        <v>1000</v>
      </c>
      <c r="J132" s="371">
        <v>2000</v>
      </c>
      <c r="K132" s="371">
        <v>5000</v>
      </c>
      <c r="L132" s="371">
        <v>10000</v>
      </c>
      <c r="M132" s="371">
        <v>20000</v>
      </c>
      <c r="N132" s="371">
        <v>30000</v>
      </c>
      <c r="O132" s="367">
        <f>$C$4+$C$5</f>
        <v>10.15604759</v>
      </c>
      <c r="P132" s="368">
        <f>IF(O132&lt;D132,15,IF(O132&gt;N132,N132,HLOOKUP(O132,D132:N132,1)))</f>
        <v>15</v>
      </c>
      <c r="Q132" s="369">
        <f>IF(O132&lt;15,15,IF(O132&lt;20,20,IF(O132&gt;N132,N132,INDEX(D132:N132,MATCH(O132,D132:N132,1)+1))))</f>
        <v>15</v>
      </c>
    </row>
    <row r="133" spans="1:17" ht="15">
      <c r="A133" s="372">
        <v>1</v>
      </c>
      <c r="B133" s="373" t="s">
        <v>458</v>
      </c>
      <c r="C133" s="374" t="s">
        <v>523</v>
      </c>
      <c r="D133" s="374" t="s">
        <v>955</v>
      </c>
      <c r="E133" s="374" t="s">
        <v>538</v>
      </c>
      <c r="F133" s="374" t="s">
        <v>517</v>
      </c>
      <c r="G133" s="374" t="s">
        <v>540</v>
      </c>
      <c r="H133" s="374" t="s">
        <v>529</v>
      </c>
      <c r="I133" s="374" t="s">
        <v>956</v>
      </c>
      <c r="J133" s="374" t="s">
        <v>957</v>
      </c>
      <c r="K133" s="374" t="s">
        <v>958</v>
      </c>
      <c r="L133" s="374" t="s">
        <v>959</v>
      </c>
      <c r="M133" s="374" t="s">
        <v>960</v>
      </c>
      <c r="N133" s="374" t="s">
        <v>961</v>
      </c>
      <c r="O133" s="379" t="str">
        <f>IF(Q$132=P$132,P133,ROUND(P133-((P133-Q133)/(Q$132-P$132))*(O$132-P$132),3))</f>
        <v>0,071</v>
      </c>
      <c r="P133" s="376" t="str">
        <f>IF(P$132=0,0,IF(P$132=15,C133,HLOOKUP($P$132,$D$132:$N$137,2,TRUE)))</f>
        <v>0,071</v>
      </c>
      <c r="Q133" s="377" t="str">
        <f>IF(Q$132=0,0,IF(Q$132=15,C133,HLOOKUP($Q$132,$D$132:$N$137,2,TRUE)))</f>
        <v>0,071</v>
      </c>
    </row>
    <row r="134" spans="1:17" ht="15">
      <c r="A134" s="372">
        <v>2</v>
      </c>
      <c r="B134" s="373" t="s">
        <v>465</v>
      </c>
      <c r="C134" s="374" t="s">
        <v>962</v>
      </c>
      <c r="D134" s="374" t="s">
        <v>963</v>
      </c>
      <c r="E134" s="374" t="s">
        <v>964</v>
      </c>
      <c r="F134" s="374" t="s">
        <v>965</v>
      </c>
      <c r="G134" s="374" t="s">
        <v>966</v>
      </c>
      <c r="H134" s="374" t="s">
        <v>967</v>
      </c>
      <c r="I134" s="374" t="s">
        <v>540</v>
      </c>
      <c r="J134" s="374" t="s">
        <v>551</v>
      </c>
      <c r="K134" s="374" t="s">
        <v>968</v>
      </c>
      <c r="L134" s="374" t="s">
        <v>969</v>
      </c>
      <c r="M134" s="374" t="s">
        <v>959</v>
      </c>
      <c r="N134" s="374" t="s">
        <v>960</v>
      </c>
      <c r="O134" s="379" t="str">
        <f>IF(Q$132=P$132,P134,ROUND(P134-((P134-Q134)/(Q$132-P$132))*(O$132-P$132),3))</f>
        <v>0,098</v>
      </c>
      <c r="P134" s="376" t="str">
        <f>IF(P$132=0,0,IF(P$132=15,C134,HLOOKUP($P$132,$D$132:$N$137,3,TRUE)))</f>
        <v>0,098</v>
      </c>
      <c r="Q134" s="377" t="str">
        <f>IF(Q$132=0,0,IF(Q$132=15,C134,HLOOKUP($Q$132,$D$132:$N$137,3,TRUE)))</f>
        <v>0,098</v>
      </c>
    </row>
    <row r="135" spans="1:17" ht="15">
      <c r="A135" s="372">
        <v>3</v>
      </c>
      <c r="B135" s="373" t="s">
        <v>472</v>
      </c>
      <c r="C135" s="374" t="s">
        <v>970</v>
      </c>
      <c r="D135" s="374" t="s">
        <v>965</v>
      </c>
      <c r="E135" s="374" t="s">
        <v>539</v>
      </c>
      <c r="F135" s="374" t="s">
        <v>550</v>
      </c>
      <c r="G135" s="374" t="s">
        <v>551</v>
      </c>
      <c r="H135" s="374" t="s">
        <v>971</v>
      </c>
      <c r="I135" s="374" t="s">
        <v>972</v>
      </c>
      <c r="J135" s="374" t="s">
        <v>958</v>
      </c>
      <c r="K135" s="374" t="s">
        <v>959</v>
      </c>
      <c r="L135" s="374" t="s">
        <v>960</v>
      </c>
      <c r="M135" s="374" t="s">
        <v>961</v>
      </c>
      <c r="N135" s="374" t="s">
        <v>973</v>
      </c>
      <c r="O135" s="379" t="str">
        <f>IF(Q$132=P$132,P135,ROUND(P135-((P135-Q135)/(Q$132-P$132))*(O$132-P$132),3))</f>
        <v>0,054</v>
      </c>
      <c r="P135" s="376" t="str">
        <f>IF(P$132=0,0,IF(P$132=15,C135,HLOOKUP($P$132,$D$132:$N$137,4,TRUE)))</f>
        <v>0,054</v>
      </c>
      <c r="Q135" s="377" t="str">
        <f>IF(Q$132=0,0,IF(Q$132=15,C135,HLOOKUP($Q$132,$D$132:$N$137,4,TRUE)))</f>
        <v>0,054</v>
      </c>
    </row>
    <row r="136" spans="1:17" ht="15">
      <c r="A136" s="372">
        <v>4</v>
      </c>
      <c r="B136" s="373" t="s">
        <v>479</v>
      </c>
      <c r="C136" s="374" t="s">
        <v>974</v>
      </c>
      <c r="D136" s="374" t="s">
        <v>975</v>
      </c>
      <c r="E136" s="374" t="s">
        <v>976</v>
      </c>
      <c r="F136" s="374" t="s">
        <v>977</v>
      </c>
      <c r="G136" s="374" t="s">
        <v>978</v>
      </c>
      <c r="H136" s="374" t="s">
        <v>968</v>
      </c>
      <c r="I136" s="374" t="s">
        <v>971</v>
      </c>
      <c r="J136" s="374" t="s">
        <v>972</v>
      </c>
      <c r="K136" s="374" t="s">
        <v>958</v>
      </c>
      <c r="L136" s="374" t="s">
        <v>979</v>
      </c>
      <c r="M136" s="374" t="s">
        <v>960</v>
      </c>
      <c r="N136" s="374" t="s">
        <v>961</v>
      </c>
      <c r="O136" s="379" t="str">
        <f>IF(Q$132=P$132,P136,ROUND(P136-((P136-Q136)/(Q$132-P$132))*(O$132-P$132),3))</f>
        <v>0,064</v>
      </c>
      <c r="P136" s="376" t="str">
        <f>IF(P$132=0,0,IF(P$132=15,C136,HLOOKUP($P$132,$D$132:$N$137,5,TRUE)))</f>
        <v>0,064</v>
      </c>
      <c r="Q136" s="377" t="str">
        <f>IF(Q$132=0,0,IF(Q$132=15,C136,HLOOKUP($Q$132,$D$132:$N$137,5,TRUE)))</f>
        <v>0,064</v>
      </c>
    </row>
    <row r="137" spans="1:17" ht="15">
      <c r="A137" s="372">
        <v>5</v>
      </c>
      <c r="B137" s="373" t="s">
        <v>486</v>
      </c>
      <c r="C137" s="374" t="s">
        <v>980</v>
      </c>
      <c r="D137" s="374" t="s">
        <v>981</v>
      </c>
      <c r="E137" s="374" t="s">
        <v>982</v>
      </c>
      <c r="F137" s="374" t="s">
        <v>983</v>
      </c>
      <c r="G137" s="374" t="s">
        <v>541</v>
      </c>
      <c r="H137" s="374" t="s">
        <v>971</v>
      </c>
      <c r="I137" s="374" t="s">
        <v>957</v>
      </c>
      <c r="J137" s="374" t="s">
        <v>969</v>
      </c>
      <c r="K137" s="374" t="s">
        <v>984</v>
      </c>
      <c r="L137" s="374" t="s">
        <v>960</v>
      </c>
      <c r="M137" s="374" t="s">
        <v>961</v>
      </c>
      <c r="N137" s="374" t="s">
        <v>973</v>
      </c>
      <c r="O137" s="379" t="str">
        <f>IF(Q$132=P$132,P137,ROUND(P137-((P137-Q137)/(Q$132-P$132))*(O$132-P$132),3))</f>
        <v>0,056</v>
      </c>
      <c r="P137" s="376" t="str">
        <f>IF(P$132=0,0,IF(P$132=15,C137,HLOOKUP($P$132,$D$132:$N$137,6,TRUE)))</f>
        <v>0,056</v>
      </c>
      <c r="Q137" s="377" t="str">
        <f>IF(Q$132=0,0,IF(Q$132=15,C137,HLOOKUP($Q$132,$D$132:$N$137,6,TRUE)))</f>
        <v>0,056</v>
      </c>
    </row>
    <row r="138" ht="15" hidden="1">
      <c r="A138" s="354" t="s">
        <v>985</v>
      </c>
    </row>
    <row r="139" ht="15"/>
    <row r="140" spans="1:13" ht="15">
      <c r="A140" s="701" t="s">
        <v>986</v>
      </c>
      <c r="B140" s="701"/>
      <c r="C140" s="701"/>
      <c r="D140" s="701"/>
      <c r="E140" s="701"/>
      <c r="F140" s="701"/>
      <c r="G140" s="701"/>
      <c r="H140" s="701"/>
      <c r="I140" s="701"/>
      <c r="J140" s="701"/>
      <c r="K140" s="701"/>
      <c r="L140" s="701"/>
      <c r="M140" s="701"/>
    </row>
    <row r="141" spans="11:14" ht="15">
      <c r="K141" s="707" t="s">
        <v>448</v>
      </c>
      <c r="L141" s="707"/>
      <c r="M141" s="707"/>
      <c r="N141" s="707"/>
    </row>
    <row r="142" spans="1:14" ht="15" hidden="1">
      <c r="A142" s="354" t="s">
        <v>987</v>
      </c>
      <c r="N142" s="354" t="s">
        <v>450</v>
      </c>
    </row>
    <row r="143" spans="1:17" ht="15">
      <c r="A143" s="705" t="s">
        <v>451</v>
      </c>
      <c r="B143" s="705" t="s">
        <v>452</v>
      </c>
      <c r="C143" s="705" t="s">
        <v>954</v>
      </c>
      <c r="D143" s="705"/>
      <c r="E143" s="705"/>
      <c r="F143" s="705"/>
      <c r="G143" s="705"/>
      <c r="H143" s="705"/>
      <c r="I143" s="705"/>
      <c r="J143" s="705"/>
      <c r="K143" s="705"/>
      <c r="L143" s="705"/>
      <c r="M143" s="705"/>
      <c r="N143" s="705"/>
      <c r="O143" s="367" t="s">
        <v>454</v>
      </c>
      <c r="P143" s="368" t="s">
        <v>455</v>
      </c>
      <c r="Q143" s="369" t="s">
        <v>456</v>
      </c>
    </row>
    <row r="144" spans="1:17" ht="15">
      <c r="A144" s="705"/>
      <c r="B144" s="705"/>
      <c r="C144" s="370" t="s">
        <v>496</v>
      </c>
      <c r="D144" s="370">
        <v>20</v>
      </c>
      <c r="E144" s="370">
        <v>50</v>
      </c>
      <c r="F144" s="370">
        <v>100</v>
      </c>
      <c r="G144" s="370">
        <v>200</v>
      </c>
      <c r="H144" s="370">
        <v>500</v>
      </c>
      <c r="I144" s="371">
        <v>1000</v>
      </c>
      <c r="J144" s="371">
        <v>2000</v>
      </c>
      <c r="K144" s="371">
        <v>5000</v>
      </c>
      <c r="L144" s="371">
        <v>10000</v>
      </c>
      <c r="M144" s="371">
        <v>20000</v>
      </c>
      <c r="N144" s="371">
        <v>30000</v>
      </c>
      <c r="O144" s="367">
        <f>$C$4+$C$5</f>
        <v>10.15604759</v>
      </c>
      <c r="P144" s="368">
        <f>IF(O144&lt;D144,15,IF(O144&gt;N144,N144,HLOOKUP(O144,D144:N144,1)))</f>
        <v>15</v>
      </c>
      <c r="Q144" s="369">
        <f>IF(O144&lt;15,15,IF(O144&lt;20,20,IF(O144&gt;N144,N144,INDEX(D144:N144,MATCH(O144,D144:N144,1)+1))))</f>
        <v>15</v>
      </c>
    </row>
    <row r="145" spans="1:17" ht="15">
      <c r="A145" s="372">
        <v>1</v>
      </c>
      <c r="B145" s="373" t="s">
        <v>458</v>
      </c>
      <c r="C145" s="374" t="s">
        <v>988</v>
      </c>
      <c r="D145" s="374" t="s">
        <v>989</v>
      </c>
      <c r="E145" s="374" t="s">
        <v>990</v>
      </c>
      <c r="F145" s="374" t="s">
        <v>587</v>
      </c>
      <c r="G145" s="374" t="s">
        <v>537</v>
      </c>
      <c r="H145" s="374" t="s">
        <v>991</v>
      </c>
      <c r="I145" s="374" t="s">
        <v>982</v>
      </c>
      <c r="J145" s="374" t="s">
        <v>517</v>
      </c>
      <c r="K145" s="374" t="s">
        <v>506</v>
      </c>
      <c r="L145" s="374" t="s">
        <v>528</v>
      </c>
      <c r="M145" s="374" t="s">
        <v>968</v>
      </c>
      <c r="N145" s="374" t="s">
        <v>957</v>
      </c>
      <c r="O145" s="379" t="str">
        <f>IF(Q$144=P$144,P145,ROUND(P145-((P145-Q145)/(Q$144-P$144))*(O$144-P$144),3))</f>
        <v>0,204</v>
      </c>
      <c r="P145" s="376" t="str">
        <f>IF(P$144=0,0,IF(P$144=15,C145,HLOOKUP($P$144,$D$144:$N$149,2,TRUE)))</f>
        <v>0,204</v>
      </c>
      <c r="Q145" s="377" t="str">
        <f>IF(Q$144=0,0,IF(Q$144=15,C145,HLOOKUP($Q$144,$D$144:$N$149,2,TRUE)))</f>
        <v>0,204</v>
      </c>
    </row>
    <row r="146" spans="1:17" ht="15">
      <c r="A146" s="372">
        <v>2</v>
      </c>
      <c r="B146" s="373" t="s">
        <v>465</v>
      </c>
      <c r="C146" s="374" t="s">
        <v>992</v>
      </c>
      <c r="D146" s="374" t="s">
        <v>993</v>
      </c>
      <c r="E146" s="374" t="s">
        <v>994</v>
      </c>
      <c r="F146" s="374" t="s">
        <v>513</v>
      </c>
      <c r="G146" s="374" t="s">
        <v>578</v>
      </c>
      <c r="H146" s="374" t="s">
        <v>995</v>
      </c>
      <c r="I146" s="374" t="s">
        <v>537</v>
      </c>
      <c r="J146" s="374" t="s">
        <v>980</v>
      </c>
      <c r="K146" s="374" t="s">
        <v>996</v>
      </c>
      <c r="L146" s="374" t="s">
        <v>527</v>
      </c>
      <c r="M146" s="374" t="s">
        <v>551</v>
      </c>
      <c r="N146" s="374" t="s">
        <v>968</v>
      </c>
      <c r="O146" s="379" t="str">
        <f>IF(Q$144=P$144,P146,ROUND(P146-((P146-Q146)/(Q$144-P$144))*(O$144-P$144),3))</f>
        <v>0,281</v>
      </c>
      <c r="P146" s="376" t="str">
        <f>IF(P$144=0,0,IF(P$144=15,C146,HLOOKUP($P$144,$D$144:$N$149,3,TRUE)))</f>
        <v>0,281</v>
      </c>
      <c r="Q146" s="377" t="str">
        <f>IF(Q$144=0,0,IF(Q$144=15,C146,HLOOKUP($Q$144,$D$144:$N$149,3,TRUE)))</f>
        <v>0,281</v>
      </c>
    </row>
    <row r="147" spans="1:17" ht="15">
      <c r="A147" s="372">
        <v>3</v>
      </c>
      <c r="B147" s="373" t="s">
        <v>472</v>
      </c>
      <c r="C147" s="374" t="s">
        <v>997</v>
      </c>
      <c r="D147" s="374" t="s">
        <v>998</v>
      </c>
      <c r="E147" s="374" t="s">
        <v>546</v>
      </c>
      <c r="F147" s="374" t="s">
        <v>999</v>
      </c>
      <c r="G147" s="374" t="s">
        <v>975</v>
      </c>
      <c r="H147" s="374" t="s">
        <v>526</v>
      </c>
      <c r="I147" s="374" t="s">
        <v>983</v>
      </c>
      <c r="J147" s="374" t="s">
        <v>506</v>
      </c>
      <c r="K147" s="374" t="s">
        <v>551</v>
      </c>
      <c r="L147" s="374" t="s">
        <v>956</v>
      </c>
      <c r="M147" s="374" t="s">
        <v>969</v>
      </c>
      <c r="N147" s="374" t="s">
        <v>958</v>
      </c>
      <c r="O147" s="379" t="str">
        <f>IF(Q$144=P$144,P147,ROUND(P147-((P147-Q147)/(Q$144-P$144))*(O$144-P$144),3))</f>
        <v>0,153</v>
      </c>
      <c r="P147" s="376" t="str">
        <f>IF(P$144=0,0,IF(P$144=15,C147,HLOOKUP($P$144,$D$144:$N$149,4,TRUE)))</f>
        <v>0,153</v>
      </c>
      <c r="Q147" s="377" t="str">
        <f>IF(Q$144=0,0,IF(Q$144=15,C147,HLOOKUP($Q$144,$D$144:$N$149,4,TRUE)))</f>
        <v>0,153</v>
      </c>
    </row>
    <row r="148" spans="1:17" ht="15">
      <c r="A148" s="372">
        <v>4</v>
      </c>
      <c r="B148" s="373" t="s">
        <v>479</v>
      </c>
      <c r="C148" s="374" t="s">
        <v>1000</v>
      </c>
      <c r="D148" s="374" t="s">
        <v>564</v>
      </c>
      <c r="E148" s="374" t="s">
        <v>1001</v>
      </c>
      <c r="F148" s="374" t="s">
        <v>1002</v>
      </c>
      <c r="G148" s="374" t="s">
        <v>1003</v>
      </c>
      <c r="H148" s="374" t="s">
        <v>996</v>
      </c>
      <c r="I148" s="374" t="s">
        <v>966</v>
      </c>
      <c r="J148" s="374" t="s">
        <v>983</v>
      </c>
      <c r="K148" s="374" t="s">
        <v>506</v>
      </c>
      <c r="L148" s="374" t="s">
        <v>552</v>
      </c>
      <c r="M148" s="374" t="s">
        <v>956</v>
      </c>
      <c r="N148" s="374" t="s">
        <v>969</v>
      </c>
      <c r="O148" s="379" t="str">
        <f>IF(Q$144=P$144,P148,ROUND(P148-((P148-Q148)/(Q$144-P$144))*(O$144-P$144),3))</f>
        <v>0,182</v>
      </c>
      <c r="P148" s="376" t="str">
        <f>IF(P$144=0,0,IF(P$144=15,C148,HLOOKUP($P$144,$D$144:$N$149,5,TRUE)))</f>
        <v>0,182</v>
      </c>
      <c r="Q148" s="377" t="str">
        <f>IF(Q$144=0,0,IF(Q$144=15,C148,HLOOKUP($Q$144,$D$144:$N$149,5,TRUE)))</f>
        <v>0,182</v>
      </c>
    </row>
    <row r="149" spans="1:17" ht="15">
      <c r="A149" s="372">
        <v>5</v>
      </c>
      <c r="B149" s="373" t="s">
        <v>486</v>
      </c>
      <c r="C149" s="374" t="s">
        <v>1004</v>
      </c>
      <c r="D149" s="374" t="s">
        <v>1005</v>
      </c>
      <c r="E149" s="374" t="s">
        <v>1006</v>
      </c>
      <c r="F149" s="374" t="s">
        <v>1007</v>
      </c>
      <c r="G149" s="374" t="s">
        <v>1008</v>
      </c>
      <c r="H149" s="374" t="s">
        <v>966</v>
      </c>
      <c r="I149" s="374" t="s">
        <v>517</v>
      </c>
      <c r="J149" s="374" t="s">
        <v>527</v>
      </c>
      <c r="K149" s="374" t="s">
        <v>507</v>
      </c>
      <c r="L149" s="374" t="s">
        <v>968</v>
      </c>
      <c r="M149" s="374" t="s">
        <v>969</v>
      </c>
      <c r="N149" s="374" t="s">
        <v>958</v>
      </c>
      <c r="O149" s="379" t="str">
        <f>IF(Q$144=P$144,P149,ROUND(P149-((P149-Q149)/(Q$144-P$144))*(O$144-P$144),3))</f>
        <v>0,160</v>
      </c>
      <c r="P149" s="376" t="str">
        <f>IF(P$144=0,0,IF(P$144=15,C149,HLOOKUP($P$144,$D$144:$N$149,6,TRUE)))</f>
        <v>0,160</v>
      </c>
      <c r="Q149" s="377" t="str">
        <f>IF(Q$144=0,0,IF(Q$144=15,C149,HLOOKUP($Q$144,$D$144:$N$149,6,TRUE)))</f>
        <v>0,160</v>
      </c>
    </row>
    <row r="150" ht="15" hidden="1">
      <c r="A150" s="354" t="s">
        <v>1009</v>
      </c>
    </row>
    <row r="151" ht="15"/>
    <row r="152" spans="1:14" ht="15">
      <c r="A152" s="708" t="s">
        <v>1010</v>
      </c>
      <c r="B152" s="708"/>
      <c r="C152" s="708"/>
      <c r="D152" s="708"/>
      <c r="E152" s="708"/>
      <c r="F152" s="708"/>
      <c r="G152" s="708"/>
      <c r="H152" s="708"/>
      <c r="I152" s="708"/>
      <c r="J152" s="708"/>
      <c r="K152" s="708"/>
      <c r="L152" s="708"/>
      <c r="M152" s="708"/>
      <c r="N152" s="708"/>
    </row>
    <row r="153" spans="9:14" ht="15">
      <c r="I153" s="702" t="s">
        <v>448</v>
      </c>
      <c r="J153" s="702"/>
      <c r="K153" s="702"/>
      <c r="L153" s="702"/>
      <c r="M153" s="702"/>
      <c r="N153" s="388"/>
    </row>
    <row r="154" spans="1:13" ht="15" hidden="1">
      <c r="A154" s="354" t="s">
        <v>1011</v>
      </c>
      <c r="M154" s="354" t="s">
        <v>450</v>
      </c>
    </row>
    <row r="155" spans="1:16" ht="15">
      <c r="A155" s="705" t="s">
        <v>451</v>
      </c>
      <c r="B155" s="705" t="s">
        <v>452</v>
      </c>
      <c r="C155" s="706" t="s">
        <v>1012</v>
      </c>
      <c r="D155" s="706"/>
      <c r="E155" s="706"/>
      <c r="F155" s="706"/>
      <c r="G155" s="706"/>
      <c r="H155" s="706"/>
      <c r="I155" s="706"/>
      <c r="J155" s="706"/>
      <c r="K155" s="706"/>
      <c r="L155" s="706"/>
      <c r="M155" s="706"/>
      <c r="N155" s="381" t="s">
        <v>454</v>
      </c>
      <c r="O155" s="367" t="s">
        <v>455</v>
      </c>
      <c r="P155" s="369" t="s">
        <v>456</v>
      </c>
    </row>
    <row r="156" spans="1:16" ht="15">
      <c r="A156" s="705"/>
      <c r="B156" s="705"/>
      <c r="C156" s="370" t="s">
        <v>457</v>
      </c>
      <c r="D156" s="370">
        <v>20</v>
      </c>
      <c r="E156" s="370">
        <v>50</v>
      </c>
      <c r="F156" s="370">
        <v>100</v>
      </c>
      <c r="G156" s="370">
        <v>200</v>
      </c>
      <c r="H156" s="370">
        <v>500</v>
      </c>
      <c r="I156" s="371">
        <v>1000</v>
      </c>
      <c r="J156" s="371">
        <v>2000</v>
      </c>
      <c r="K156" s="371">
        <v>5000</v>
      </c>
      <c r="L156" s="371">
        <v>8000</v>
      </c>
      <c r="M156" s="371">
        <v>10000</v>
      </c>
      <c r="N156" s="381">
        <f>$C$4</f>
        <v>10.15604759</v>
      </c>
      <c r="O156" s="367">
        <f>IF(N156&lt;D156,10,IF(N156&gt;M156,M156,HLOOKUP(N156,D156:M156,1)))</f>
        <v>10</v>
      </c>
      <c r="P156" s="369">
        <f>IF(N156&lt;10,10,IF(N156&lt;20,20,IF(N156&gt;M156,M156,INDEX(D156:M156,MATCH(N156,D156:M156,1)+1))))</f>
        <v>20</v>
      </c>
    </row>
    <row r="157" spans="1:16" ht="15">
      <c r="A157" s="372">
        <v>1</v>
      </c>
      <c r="B157" s="373" t="s">
        <v>458</v>
      </c>
      <c r="C157" s="383" t="s">
        <v>1013</v>
      </c>
      <c r="D157" s="383" t="s">
        <v>1014</v>
      </c>
      <c r="E157" s="383" t="s">
        <v>1015</v>
      </c>
      <c r="F157" s="383" t="s">
        <v>1016</v>
      </c>
      <c r="G157" s="383" t="s">
        <v>522</v>
      </c>
      <c r="H157" s="383" t="s">
        <v>963</v>
      </c>
      <c r="I157" s="383" t="s">
        <v>1003</v>
      </c>
      <c r="J157" s="383" t="s">
        <v>996</v>
      </c>
      <c r="K157" s="383" t="s">
        <v>977</v>
      </c>
      <c r="L157" s="383" t="s">
        <v>967</v>
      </c>
      <c r="M157" s="384" t="s">
        <v>506</v>
      </c>
      <c r="N157" s="385">
        <f>IF(P$156=O$156,O157,ROUND(O157-((O157-P157)/(P$156-O$156))*(N$156-O$156),3))</f>
        <v>0.257</v>
      </c>
      <c r="O157" s="393" t="str">
        <f>IF(O$156=10,C157,HLOOKUP($O$156,$D$156:$M$161,2,TRUE))</f>
        <v>0,258</v>
      </c>
      <c r="P157" s="387" t="str">
        <f>IF(P$156=10,C157,HLOOKUP($P$156,$D$156:$M$161,2,TRUE))</f>
        <v>0,223</v>
      </c>
    </row>
    <row r="158" spans="1:16" ht="15">
      <c r="A158" s="372">
        <v>2</v>
      </c>
      <c r="B158" s="373" t="s">
        <v>465</v>
      </c>
      <c r="C158" s="383" t="s">
        <v>464</v>
      </c>
      <c r="D158" s="383" t="s">
        <v>1017</v>
      </c>
      <c r="E158" s="383" t="s">
        <v>1018</v>
      </c>
      <c r="F158" s="383" t="s">
        <v>1019</v>
      </c>
      <c r="G158" s="383" t="s">
        <v>1020</v>
      </c>
      <c r="H158" s="383" t="s">
        <v>999</v>
      </c>
      <c r="I158" s="383" t="s">
        <v>1021</v>
      </c>
      <c r="J158" s="383" t="s">
        <v>525</v>
      </c>
      <c r="K158" s="383" t="s">
        <v>549</v>
      </c>
      <c r="L158" s="383" t="s">
        <v>1022</v>
      </c>
      <c r="M158" s="384" t="s">
        <v>967</v>
      </c>
      <c r="N158" s="385">
        <f>IF(P$156=O$156,O158,ROUND(O158-((O158-P158)/(P$156-O$156))*(N$156-O$156),3))</f>
        <v>0.289</v>
      </c>
      <c r="O158" s="393" t="str">
        <f>IF(O$156=10,C158,HLOOKUP($O$156,$D$156:$M$161,3,TRUE))</f>
        <v>0,290</v>
      </c>
      <c r="P158" s="387" t="str">
        <f>IF(P$156=10,C158,HLOOKUP($P$156,$D$156:$M$161,3,TRUE))</f>
        <v>0,252</v>
      </c>
    </row>
    <row r="159" spans="1:16" ht="15">
      <c r="A159" s="372">
        <v>3</v>
      </c>
      <c r="B159" s="373" t="s">
        <v>472</v>
      </c>
      <c r="C159" s="383" t="s">
        <v>1023</v>
      </c>
      <c r="D159" s="383" t="s">
        <v>1024</v>
      </c>
      <c r="E159" s="383" t="s">
        <v>1020</v>
      </c>
      <c r="F159" s="383" t="s">
        <v>599</v>
      </c>
      <c r="G159" s="383" t="s">
        <v>503</v>
      </c>
      <c r="H159" s="383" t="s">
        <v>548</v>
      </c>
      <c r="I159" s="383" t="s">
        <v>1025</v>
      </c>
      <c r="J159" s="383" t="s">
        <v>1026</v>
      </c>
      <c r="K159" s="383" t="s">
        <v>978</v>
      </c>
      <c r="L159" s="383" t="s">
        <v>551</v>
      </c>
      <c r="M159" s="384" t="s">
        <v>552</v>
      </c>
      <c r="N159" s="385">
        <f>IF(P$156=O$156,O159,ROUND(O159-((O159-P159)/(P$156-O$156))*(N$156-O$156),3))</f>
        <v>0.17</v>
      </c>
      <c r="O159" s="393" t="str">
        <f>IF(O$156=10,C159,HLOOKUP($O$156,$D$156:$M$161,4,TRUE))</f>
        <v>0,170</v>
      </c>
      <c r="P159" s="387" t="str">
        <f>IF(P$156=10,C159,HLOOKUP($P$156,$D$156:$M$161,4,TRUE))</f>
        <v>0,147</v>
      </c>
    </row>
    <row r="160" spans="1:16" ht="15">
      <c r="A160" s="372">
        <v>4</v>
      </c>
      <c r="B160" s="373" t="s">
        <v>479</v>
      </c>
      <c r="C160" s="383" t="s">
        <v>576</v>
      </c>
      <c r="D160" s="383" t="s">
        <v>512</v>
      </c>
      <c r="E160" s="383" t="s">
        <v>1027</v>
      </c>
      <c r="F160" s="383" t="s">
        <v>1028</v>
      </c>
      <c r="G160" s="383" t="s">
        <v>503</v>
      </c>
      <c r="H160" s="383" t="s">
        <v>980</v>
      </c>
      <c r="I160" s="383" t="s">
        <v>1029</v>
      </c>
      <c r="J160" s="383" t="s">
        <v>1026</v>
      </c>
      <c r="K160" s="383" t="s">
        <v>506</v>
      </c>
      <c r="L160" s="383" t="s">
        <v>507</v>
      </c>
      <c r="M160" s="384" t="s">
        <v>528</v>
      </c>
      <c r="N160" s="385">
        <f>IF(P$156=O$156,O160,ROUND(O160-((O160-P160)/(P$156-O$156))*(N$156-O$156),3))</f>
        <v>0.189</v>
      </c>
      <c r="O160" s="393" t="str">
        <f>IF(O$156=10,C160,HLOOKUP($O$156,$D$156:$M$161,5,TRUE))</f>
        <v>0,189</v>
      </c>
      <c r="P160" s="387" t="str">
        <f>IF(P$156=10,C160,HLOOKUP($P$156,$D$156:$M$161,5,TRUE))</f>
        <v>0,163</v>
      </c>
    </row>
    <row r="161" spans="1:16" ht="15">
      <c r="A161" s="372">
        <v>5</v>
      </c>
      <c r="B161" s="373" t="s">
        <v>486</v>
      </c>
      <c r="C161" s="383" t="s">
        <v>1030</v>
      </c>
      <c r="D161" s="383" t="s">
        <v>1015</v>
      </c>
      <c r="E161" s="383" t="s">
        <v>1001</v>
      </c>
      <c r="F161" s="383" t="s">
        <v>1031</v>
      </c>
      <c r="G161" s="383" t="s">
        <v>1032</v>
      </c>
      <c r="H161" s="383" t="s">
        <v>955</v>
      </c>
      <c r="I161" s="383" t="s">
        <v>991</v>
      </c>
      <c r="J161" s="383" t="s">
        <v>1033</v>
      </c>
      <c r="K161" s="383" t="s">
        <v>527</v>
      </c>
      <c r="L161" s="383" t="s">
        <v>978</v>
      </c>
      <c r="M161" s="384" t="s">
        <v>541</v>
      </c>
      <c r="N161" s="385">
        <f>IF(P$156=O$156,O161,ROUND(O161-((O161-P161)/(P$156-O$156))*(N$156-O$156),3))</f>
        <v>0.197</v>
      </c>
      <c r="O161" s="393" t="str">
        <f>IF(O$156=10,C161,HLOOKUP($O$156,$D$156:$M$161,6,TRUE))</f>
        <v>0,197</v>
      </c>
      <c r="P161" s="387" t="str">
        <f>IF(P$156=10,C161,HLOOKUP($P$156,$D$156:$M$161,6,TRUE))</f>
        <v>0,172</v>
      </c>
    </row>
    <row r="162" ht="15" hidden="1">
      <c r="A162" s="354" t="s">
        <v>1034</v>
      </c>
    </row>
    <row r="163" ht="15"/>
    <row r="164" spans="1:13" ht="15">
      <c r="A164" s="701" t="s">
        <v>1035</v>
      </c>
      <c r="B164" s="701"/>
      <c r="C164" s="701"/>
      <c r="D164" s="701"/>
      <c r="E164" s="701"/>
      <c r="F164" s="701"/>
      <c r="G164" s="701"/>
      <c r="H164" s="701"/>
      <c r="I164" s="701"/>
      <c r="J164" s="701"/>
      <c r="K164" s="701"/>
      <c r="L164" s="701"/>
      <c r="M164" s="701"/>
    </row>
    <row r="165" spans="9:14" ht="15">
      <c r="I165" s="702" t="s">
        <v>448</v>
      </c>
      <c r="J165" s="702"/>
      <c r="K165" s="702"/>
      <c r="L165" s="702"/>
      <c r="M165" s="702"/>
      <c r="N165" s="388"/>
    </row>
    <row r="166" spans="1:13" ht="15" hidden="1">
      <c r="A166" s="354" t="s">
        <v>1036</v>
      </c>
      <c r="M166" s="354" t="s">
        <v>450</v>
      </c>
    </row>
    <row r="167" spans="1:16" ht="15" customHeight="1">
      <c r="A167" s="705" t="s">
        <v>451</v>
      </c>
      <c r="B167" s="705" t="s">
        <v>452</v>
      </c>
      <c r="C167" s="706" t="s">
        <v>1012</v>
      </c>
      <c r="D167" s="706"/>
      <c r="E167" s="706"/>
      <c r="F167" s="706"/>
      <c r="G167" s="706"/>
      <c r="H167" s="706"/>
      <c r="I167" s="706"/>
      <c r="J167" s="706"/>
      <c r="K167" s="706"/>
      <c r="L167" s="706"/>
      <c r="M167" s="706"/>
      <c r="N167" s="381" t="s">
        <v>454</v>
      </c>
      <c r="O167" s="367" t="s">
        <v>455</v>
      </c>
      <c r="P167" s="369" t="s">
        <v>456</v>
      </c>
    </row>
    <row r="168" spans="1:16" ht="15">
      <c r="A168" s="705"/>
      <c r="B168" s="705"/>
      <c r="C168" s="370" t="s">
        <v>457</v>
      </c>
      <c r="D168" s="370">
        <v>20</v>
      </c>
      <c r="E168" s="370">
        <v>50</v>
      </c>
      <c r="F168" s="370">
        <v>100</v>
      </c>
      <c r="G168" s="370">
        <v>200</v>
      </c>
      <c r="H168" s="370">
        <v>500</v>
      </c>
      <c r="I168" s="371">
        <v>1000</v>
      </c>
      <c r="J168" s="371">
        <v>2000</v>
      </c>
      <c r="K168" s="371">
        <v>5000</v>
      </c>
      <c r="L168" s="371">
        <v>8000</v>
      </c>
      <c r="M168" s="371">
        <v>10000</v>
      </c>
      <c r="N168" s="381">
        <f>$C$4</f>
        <v>10.15604759</v>
      </c>
      <c r="O168" s="367">
        <f>IF(N168&lt;D168,10,IF(N168&gt;M168,M168,HLOOKUP(N168,D168:M168,1)))</f>
        <v>10</v>
      </c>
      <c r="P168" s="369">
        <f>IF(N168&lt;10,10,IF(N168&lt;20,20,IF(N168&gt;M168,M168,INDEX(D168:M168,MATCH(N168,D168:M168,1)+1))))</f>
        <v>20</v>
      </c>
    </row>
    <row r="169" spans="1:16" ht="15">
      <c r="A169" s="372">
        <v>1</v>
      </c>
      <c r="B169" s="373" t="s">
        <v>458</v>
      </c>
      <c r="C169" s="383" t="s">
        <v>1037</v>
      </c>
      <c r="D169" s="383" t="s">
        <v>1038</v>
      </c>
      <c r="E169" s="383" t="s">
        <v>1039</v>
      </c>
      <c r="F169" s="383" t="s">
        <v>1040</v>
      </c>
      <c r="G169" s="383" t="s">
        <v>1041</v>
      </c>
      <c r="H169" s="383" t="s">
        <v>1042</v>
      </c>
      <c r="I169" s="383" t="s">
        <v>974</v>
      </c>
      <c r="J169" s="383" t="s">
        <v>1029</v>
      </c>
      <c r="K169" s="383" t="s">
        <v>983</v>
      </c>
      <c r="L169" s="383" t="s">
        <v>518</v>
      </c>
      <c r="M169" s="384" t="s">
        <v>540</v>
      </c>
      <c r="N169" s="385">
        <f>IF(P$168=O$168,O169,ROUND(O169-((O169-P169)/(P$168-O$168))*(N$168-O$168),3))</f>
        <v>0.25</v>
      </c>
      <c r="O169" s="393" t="str">
        <f>IF(O$168=10,C169,HLOOKUP($O$168,$D$168:$M$173,2,TRUE))</f>
        <v>0,250</v>
      </c>
      <c r="P169" s="387" t="str">
        <f>IF(P$168=10,C169,HLOOKUP($P$168,$D$168:$M$173,2,TRUE))</f>
        <v>0,219</v>
      </c>
    </row>
    <row r="170" spans="1:16" ht="15">
      <c r="A170" s="372">
        <v>2</v>
      </c>
      <c r="B170" s="373" t="s">
        <v>465</v>
      </c>
      <c r="C170" s="383" t="s">
        <v>1043</v>
      </c>
      <c r="D170" s="383" t="s">
        <v>1044</v>
      </c>
      <c r="E170" s="383" t="s">
        <v>605</v>
      </c>
      <c r="F170" s="383" t="s">
        <v>513</v>
      </c>
      <c r="G170" s="383" t="s">
        <v>522</v>
      </c>
      <c r="H170" s="383" t="s">
        <v>963</v>
      </c>
      <c r="I170" s="383" t="s">
        <v>524</v>
      </c>
      <c r="J170" s="383" t="s">
        <v>504</v>
      </c>
      <c r="K170" s="383" t="s">
        <v>517</v>
      </c>
      <c r="L170" s="383" t="s">
        <v>550</v>
      </c>
      <c r="M170" s="384" t="s">
        <v>518</v>
      </c>
      <c r="N170" s="385">
        <f>IF(P$168=O$168,O170,ROUND(O170-((O170-P170)/(P$168-O$168))*(N$168-O$168),3))</f>
        <v>0.281</v>
      </c>
      <c r="O170" s="393" t="str">
        <f>IF(O$168=10,C170,HLOOKUP($O$168,$D$168:$M$173,3,TRUE))</f>
        <v>0,282</v>
      </c>
      <c r="P170" s="387" t="str">
        <f>IF(P$168=10,C170,HLOOKUP($P$168,$D$168:$M$173,3,TRUE))</f>
        <v>0,244</v>
      </c>
    </row>
    <row r="171" spans="1:16" ht="15">
      <c r="A171" s="372">
        <v>3</v>
      </c>
      <c r="B171" s="373" t="s">
        <v>472</v>
      </c>
      <c r="C171" s="383" t="s">
        <v>1039</v>
      </c>
      <c r="D171" s="383" t="s">
        <v>1045</v>
      </c>
      <c r="E171" s="383" t="s">
        <v>1046</v>
      </c>
      <c r="F171" s="383" t="s">
        <v>536</v>
      </c>
      <c r="G171" s="383" t="s">
        <v>1047</v>
      </c>
      <c r="H171" s="383" t="s">
        <v>1048</v>
      </c>
      <c r="I171" s="383" t="s">
        <v>982</v>
      </c>
      <c r="J171" s="383" t="s">
        <v>517</v>
      </c>
      <c r="K171" s="383" t="s">
        <v>541</v>
      </c>
      <c r="L171" s="383" t="s">
        <v>1049</v>
      </c>
      <c r="M171" s="384" t="s">
        <v>529</v>
      </c>
      <c r="N171" s="385">
        <f>IF(P$168=O$168,O171,ROUND(O171-((O171-P171)/(P$168-O$168))*(N$168-O$168),3))</f>
        <v>0.166</v>
      </c>
      <c r="O171" s="393" t="str">
        <f>IF(O$168=10,C171,HLOOKUP($O$168,$D$168:$M$173,4,TRUE))</f>
        <v>0,166</v>
      </c>
      <c r="P171" s="387" t="str">
        <f>IF(P$168=10,C171,HLOOKUP($P$168,$D$168:$M$173,4,TRUE))</f>
        <v>0,142</v>
      </c>
    </row>
    <row r="172" spans="1:16" ht="15">
      <c r="A172" s="372">
        <v>4</v>
      </c>
      <c r="B172" s="373" t="s">
        <v>479</v>
      </c>
      <c r="C172" s="383" t="s">
        <v>545</v>
      </c>
      <c r="D172" s="383" t="s">
        <v>606</v>
      </c>
      <c r="E172" s="383" t="s">
        <v>1050</v>
      </c>
      <c r="F172" s="383" t="s">
        <v>1007</v>
      </c>
      <c r="G172" s="383" t="s">
        <v>537</v>
      </c>
      <c r="H172" s="383" t="s">
        <v>525</v>
      </c>
      <c r="I172" s="383" t="s">
        <v>505</v>
      </c>
      <c r="J172" s="383" t="s">
        <v>517</v>
      </c>
      <c r="K172" s="383" t="s">
        <v>978</v>
      </c>
      <c r="L172" s="383" t="s">
        <v>541</v>
      </c>
      <c r="M172" s="384" t="s">
        <v>1049</v>
      </c>
      <c r="N172" s="385">
        <f>IF(P$168=O$168,O172,ROUND(O172-((O172-P172)/(P$168-O$168))*(N$168-O$168),3))</f>
        <v>0.183</v>
      </c>
      <c r="O172" s="393" t="str">
        <f>IF(O$168=10,C172,HLOOKUP($O$168,$D$168:$M$173,5,TRUE))</f>
        <v>0,183</v>
      </c>
      <c r="P172" s="387" t="str">
        <f>IF(P$168=10,C172,HLOOKUP($P$168,$D$168:$M$173,5,TRUE))</f>
        <v>0,158</v>
      </c>
    </row>
    <row r="173" spans="1:16" ht="15">
      <c r="A173" s="372">
        <v>5</v>
      </c>
      <c r="B173" s="373" t="s">
        <v>486</v>
      </c>
      <c r="C173" s="383" t="s">
        <v>1051</v>
      </c>
      <c r="D173" s="383" t="s">
        <v>1039</v>
      </c>
      <c r="E173" s="383" t="s">
        <v>1052</v>
      </c>
      <c r="F173" s="383" t="s">
        <v>1053</v>
      </c>
      <c r="G173" s="383" t="s">
        <v>1054</v>
      </c>
      <c r="H173" s="383" t="s">
        <v>980</v>
      </c>
      <c r="I173" s="383" t="s">
        <v>996</v>
      </c>
      <c r="J173" s="383" t="s">
        <v>966</v>
      </c>
      <c r="K173" s="383" t="s">
        <v>506</v>
      </c>
      <c r="L173" s="383" t="s">
        <v>507</v>
      </c>
      <c r="M173" s="384" t="s">
        <v>551</v>
      </c>
      <c r="N173" s="385">
        <f>IF(P$168=O$168,O173,ROUND(O173-((O173-P173)/(P$168-O$168))*(N$168-O$168),3))</f>
        <v>0.191</v>
      </c>
      <c r="O173" s="393" t="str">
        <f>IF(O$168=10,C173,HLOOKUP($O$168,$D$168:$M$173,6,TRUE))</f>
        <v>0,191</v>
      </c>
      <c r="P173" s="387" t="str">
        <f>IF(P$168=10,C173,HLOOKUP($P$168,$D$168:$M$173,6,TRUE))</f>
        <v>0,166</v>
      </c>
    </row>
    <row r="174" ht="15" hidden="1">
      <c r="A174" s="354" t="s">
        <v>1055</v>
      </c>
    </row>
    <row r="175" ht="15"/>
    <row r="176" spans="1:13" ht="15">
      <c r="A176" s="701" t="s">
        <v>1056</v>
      </c>
      <c r="B176" s="701"/>
      <c r="C176" s="701"/>
      <c r="D176" s="701"/>
      <c r="E176" s="701"/>
      <c r="F176" s="701"/>
      <c r="G176" s="701"/>
      <c r="H176" s="701"/>
      <c r="I176" s="701"/>
      <c r="J176" s="701"/>
      <c r="K176" s="701"/>
      <c r="L176" s="701"/>
      <c r="M176" s="701"/>
    </row>
    <row r="177" spans="9:14" ht="15">
      <c r="I177" s="702" t="s">
        <v>448</v>
      </c>
      <c r="J177" s="702"/>
      <c r="K177" s="388"/>
      <c r="L177" s="388"/>
      <c r="M177" s="388"/>
      <c r="N177" s="388"/>
    </row>
    <row r="178" spans="1:10" ht="15" hidden="1">
      <c r="A178" s="354" t="s">
        <v>1057</v>
      </c>
      <c r="J178" s="354" t="s">
        <v>450</v>
      </c>
    </row>
    <row r="179" spans="1:13" ht="16.5" customHeight="1">
      <c r="A179" s="705" t="s">
        <v>451</v>
      </c>
      <c r="B179" s="705" t="s">
        <v>452</v>
      </c>
      <c r="C179" s="709" t="s">
        <v>1058</v>
      </c>
      <c r="D179" s="710"/>
      <c r="E179" s="710"/>
      <c r="F179" s="710"/>
      <c r="G179" s="710"/>
      <c r="H179" s="710"/>
      <c r="I179" s="710"/>
      <c r="J179" s="710"/>
      <c r="K179" s="381" t="s">
        <v>454</v>
      </c>
      <c r="L179" s="368" t="s">
        <v>455</v>
      </c>
      <c r="M179" s="369" t="s">
        <v>456</v>
      </c>
    </row>
    <row r="180" spans="1:13" ht="15">
      <c r="A180" s="705"/>
      <c r="B180" s="705"/>
      <c r="C180" s="370" t="s">
        <v>457</v>
      </c>
      <c r="D180" s="370">
        <v>20</v>
      </c>
      <c r="E180" s="370">
        <v>50</v>
      </c>
      <c r="F180" s="370">
        <v>100</v>
      </c>
      <c r="G180" s="370">
        <v>200</v>
      </c>
      <c r="H180" s="370">
        <v>500</v>
      </c>
      <c r="I180" s="371">
        <v>1000</v>
      </c>
      <c r="J180" s="371">
        <v>2000</v>
      </c>
      <c r="K180" s="381">
        <f>$C$4</f>
        <v>10.15604759</v>
      </c>
      <c r="L180" s="368">
        <f>IF(K180&lt;D180,10,IF(K180&gt;J180,J180,HLOOKUP(K180,D180:J180,1)))</f>
        <v>10</v>
      </c>
      <c r="M180" s="369">
        <f>IF(K180&lt;10,10,IF(K180&lt;20,20,IF(K180&gt;J180,J180,INDEX(D180:J180,MATCH(K180,D180:J180,1)+1))))</f>
        <v>20</v>
      </c>
    </row>
    <row r="181" spans="1:13" ht="15">
      <c r="A181" s="372">
        <v>1</v>
      </c>
      <c r="B181" s="373" t="s">
        <v>458</v>
      </c>
      <c r="C181" s="374" t="s">
        <v>1059</v>
      </c>
      <c r="D181" s="374" t="s">
        <v>1060</v>
      </c>
      <c r="E181" s="374" t="s">
        <v>1061</v>
      </c>
      <c r="F181" s="374" t="s">
        <v>607</v>
      </c>
      <c r="G181" s="374" t="s">
        <v>609</v>
      </c>
      <c r="H181" s="374" t="s">
        <v>516</v>
      </c>
      <c r="I181" s="374" t="s">
        <v>505</v>
      </c>
      <c r="J181" s="374" t="s">
        <v>983</v>
      </c>
      <c r="K181" s="397">
        <f>IF(M$180=L$180,L181,ROUND(L181-((L181-M181)/(M$180-L$180))*(K$180-L$180),3))</f>
        <v>0.431</v>
      </c>
      <c r="L181" s="376" t="str">
        <f>IF(L$180=10,C181,HLOOKUP($L$180,$D$180:$J$185,2,TRUE))</f>
        <v>0,432</v>
      </c>
      <c r="M181" s="377" t="str">
        <f>IF(M$180=10,C181,HLOOKUP($M$180,$D$180:$J$185,2,TRUE))</f>
        <v>0,346</v>
      </c>
    </row>
    <row r="182" spans="1:13" ht="15">
      <c r="A182" s="372">
        <v>2</v>
      </c>
      <c r="B182" s="373" t="s">
        <v>465</v>
      </c>
      <c r="C182" s="374" t="s">
        <v>1062</v>
      </c>
      <c r="D182" s="374" t="s">
        <v>1063</v>
      </c>
      <c r="E182" s="374" t="s">
        <v>604</v>
      </c>
      <c r="F182" s="374" t="s">
        <v>534</v>
      </c>
      <c r="G182" s="374" t="s">
        <v>535</v>
      </c>
      <c r="H182" s="374" t="s">
        <v>964</v>
      </c>
      <c r="I182" s="374" t="s">
        <v>1048</v>
      </c>
      <c r="J182" s="374" t="s">
        <v>982</v>
      </c>
      <c r="K182" s="397">
        <f>IF(M$180=L$180,L182,ROUND(L182-((L182-M182)/(M$180-L$180))*(K$180-L$180),3))</f>
        <v>0.546</v>
      </c>
      <c r="L182" s="376" t="str">
        <f>IF(L$180=10,C182,HLOOKUP($L$180,$D$180:$J$185,3,TRUE))</f>
        <v>0,549</v>
      </c>
      <c r="M182" s="377" t="str">
        <f>IF(M$180=10,C182,HLOOKUP($M$180,$D$180:$J$185,3,TRUE))</f>
        <v>0,379</v>
      </c>
    </row>
    <row r="183" spans="1:13" ht="15">
      <c r="A183" s="372">
        <v>3</v>
      </c>
      <c r="B183" s="373" t="s">
        <v>472</v>
      </c>
      <c r="C183" s="374" t="s">
        <v>1060</v>
      </c>
      <c r="D183" s="374" t="s">
        <v>1064</v>
      </c>
      <c r="E183" s="374" t="s">
        <v>585</v>
      </c>
      <c r="F183" s="374" t="s">
        <v>1065</v>
      </c>
      <c r="G183" s="374" t="s">
        <v>516</v>
      </c>
      <c r="H183" s="374" t="s">
        <v>1029</v>
      </c>
      <c r="I183" s="374" t="s">
        <v>527</v>
      </c>
      <c r="J183" s="374" t="s">
        <v>1066</v>
      </c>
      <c r="K183" s="397">
        <f>IF(M$180=L$180,L183,ROUND(L183-((L183-M183)/(M$180-L$180))*(K$180-L$180),3))</f>
        <v>0.344</v>
      </c>
      <c r="L183" s="376" t="str">
        <f>IF(L$180=10,C183,HLOOKUP($L$180,$D$180:$J$185,4,TRUE))</f>
        <v>0,346</v>
      </c>
      <c r="M183" s="377" t="str">
        <f>IF(M$180=10,C183,HLOOKUP($M$180,$D$180:$J$185,4,TRUE))</f>
        <v>0,237</v>
      </c>
    </row>
    <row r="184" spans="1:13" ht="15">
      <c r="A184" s="372">
        <v>4</v>
      </c>
      <c r="B184" s="373" t="s">
        <v>479</v>
      </c>
      <c r="C184" s="374" t="s">
        <v>594</v>
      </c>
      <c r="D184" s="374" t="s">
        <v>1067</v>
      </c>
      <c r="E184" s="374" t="s">
        <v>1039</v>
      </c>
      <c r="F184" s="374" t="s">
        <v>1002</v>
      </c>
      <c r="G184" s="374" t="s">
        <v>1021</v>
      </c>
      <c r="H184" s="374" t="s">
        <v>991</v>
      </c>
      <c r="I184" s="374" t="s">
        <v>1022</v>
      </c>
      <c r="J184" s="374" t="s">
        <v>506</v>
      </c>
      <c r="K184" s="397">
        <f>IF(M$180=L$180,L184,ROUND(L184-((L184-M184)/(M$180-L$180))*(K$180-L$180),3))</f>
        <v>0.36</v>
      </c>
      <c r="L184" s="376" t="str">
        <f>IF(L$180=10,C184,HLOOKUP($L$180,$D$180:$J$185,5,TRUE))</f>
        <v>0,361</v>
      </c>
      <c r="M184" s="377" t="str">
        <f>IF(M$180=10,C184,HLOOKUP($M$180,$D$180:$J$185,5,TRUE))</f>
        <v>0,302</v>
      </c>
    </row>
    <row r="185" spans="1:13" ht="15">
      <c r="A185" s="372">
        <v>5</v>
      </c>
      <c r="B185" s="373" t="s">
        <v>486</v>
      </c>
      <c r="C185" s="374" t="s">
        <v>1068</v>
      </c>
      <c r="D185" s="374" t="s">
        <v>477</v>
      </c>
      <c r="E185" s="374" t="s">
        <v>1015</v>
      </c>
      <c r="F185" s="374" t="s">
        <v>1046</v>
      </c>
      <c r="G185" s="374" t="s">
        <v>1047</v>
      </c>
      <c r="H185" s="374" t="s">
        <v>1048</v>
      </c>
      <c r="I185" s="374" t="s">
        <v>549</v>
      </c>
      <c r="J185" s="374" t="s">
        <v>967</v>
      </c>
      <c r="K185" s="397">
        <f>IF(M$180=L$180,L185,ROUND(L185-((L185-M185)/(M$180-L$180))*(K$180-L$180),3))</f>
        <v>0.387</v>
      </c>
      <c r="L185" s="376" t="str">
        <f>IF(L$180=10,C185,HLOOKUP($L$180,$D$180:$J$185,6,TRUE))</f>
        <v>0,388</v>
      </c>
      <c r="M185" s="377" t="str">
        <f>IF(M$180=10,C185,HLOOKUP($M$180,$D$180:$J$185,6,TRUE))</f>
        <v>0,325</v>
      </c>
    </row>
    <row r="186" ht="15" hidden="1">
      <c r="A186" s="354" t="s">
        <v>1069</v>
      </c>
    </row>
    <row r="187" ht="15"/>
    <row r="188" spans="1:13" ht="15">
      <c r="A188" s="701" t="s">
        <v>1070</v>
      </c>
      <c r="B188" s="701"/>
      <c r="C188" s="701"/>
      <c r="D188" s="701"/>
      <c r="E188" s="701"/>
      <c r="F188" s="701"/>
      <c r="G188" s="701"/>
      <c r="H188" s="701"/>
      <c r="I188" s="701"/>
      <c r="J188" s="701"/>
      <c r="K188" s="701"/>
      <c r="L188" s="701"/>
      <c r="M188" s="701"/>
    </row>
    <row r="189" spans="9:14" ht="15">
      <c r="I189" s="702" t="s">
        <v>448</v>
      </c>
      <c r="J189" s="702"/>
      <c r="K189" s="388"/>
      <c r="L189" s="388"/>
      <c r="M189" s="388"/>
      <c r="N189" s="388"/>
    </row>
    <row r="190" spans="1:10" ht="15" hidden="1">
      <c r="A190" s="354" t="s">
        <v>1071</v>
      </c>
      <c r="J190" s="354" t="s">
        <v>450</v>
      </c>
    </row>
    <row r="191" spans="1:13" ht="16.5" customHeight="1">
      <c r="A191" s="705" t="s">
        <v>451</v>
      </c>
      <c r="B191" s="705" t="s">
        <v>452</v>
      </c>
      <c r="C191" s="709" t="s">
        <v>1072</v>
      </c>
      <c r="D191" s="710"/>
      <c r="E191" s="710"/>
      <c r="F191" s="710"/>
      <c r="G191" s="710"/>
      <c r="H191" s="710"/>
      <c r="I191" s="710"/>
      <c r="J191" s="710"/>
      <c r="K191" s="381" t="s">
        <v>454</v>
      </c>
      <c r="L191" s="368" t="s">
        <v>455</v>
      </c>
      <c r="M191" s="369" t="s">
        <v>456</v>
      </c>
    </row>
    <row r="192" spans="1:13" ht="15">
      <c r="A192" s="705"/>
      <c r="B192" s="705"/>
      <c r="C192" s="370" t="s">
        <v>457</v>
      </c>
      <c r="D192" s="370">
        <v>20</v>
      </c>
      <c r="E192" s="370">
        <v>50</v>
      </c>
      <c r="F192" s="370">
        <v>100</v>
      </c>
      <c r="G192" s="370">
        <v>200</v>
      </c>
      <c r="H192" s="370">
        <v>500</v>
      </c>
      <c r="I192" s="371">
        <v>1000</v>
      </c>
      <c r="J192" s="371">
        <v>2000</v>
      </c>
      <c r="K192" s="403">
        <f>$C$5</f>
        <v>0</v>
      </c>
      <c r="L192" s="368">
        <f>IF(K192&lt;D192,10,IF(K192&gt;J192,J192,HLOOKUP(K192,D192:J192,1)))</f>
        <v>10</v>
      </c>
      <c r="M192" s="369">
        <f>IF(K192&lt;10,10,IF(K192&lt;20,20,IF(K192&gt;J192,J192,INDEX(D192:J192,MATCH(K192,D192:J192,1)+1))))</f>
        <v>10</v>
      </c>
    </row>
    <row r="193" spans="1:13" ht="15">
      <c r="A193" s="372">
        <v>1</v>
      </c>
      <c r="B193" s="373" t="s">
        <v>458</v>
      </c>
      <c r="C193" s="374" t="s">
        <v>1073</v>
      </c>
      <c r="D193" s="374" t="s">
        <v>1060</v>
      </c>
      <c r="E193" s="374" t="s">
        <v>1074</v>
      </c>
      <c r="F193" s="374" t="s">
        <v>1020</v>
      </c>
      <c r="G193" s="374" t="s">
        <v>566</v>
      </c>
      <c r="H193" s="374" t="s">
        <v>1075</v>
      </c>
      <c r="I193" s="374" t="s">
        <v>548</v>
      </c>
      <c r="J193" s="374" t="s">
        <v>1029</v>
      </c>
      <c r="K193" s="397" t="str">
        <f>IF(M$192=L$192,L193,ROUND(L193-((L193-M193)/(M$192-L$192))*(K$192-L$192),3))</f>
        <v>0,367</v>
      </c>
      <c r="L193" s="376" t="str">
        <f>IF(L$192=10,C193,HLOOKUP($L$192,$D$192:$J$197,2,TRUE))</f>
        <v>0,367</v>
      </c>
      <c r="M193" s="377" t="str">
        <f>IF(M$192=10,C193,HLOOKUP($M$192,$D$192:$J$197,2,TRUE))</f>
        <v>0,367</v>
      </c>
    </row>
    <row r="194" spans="1:13" ht="15">
      <c r="A194" s="372">
        <v>2</v>
      </c>
      <c r="B194" s="373" t="s">
        <v>465</v>
      </c>
      <c r="C194" s="374" t="s">
        <v>1062</v>
      </c>
      <c r="D194" s="374" t="s">
        <v>1076</v>
      </c>
      <c r="E194" s="374" t="s">
        <v>603</v>
      </c>
      <c r="F194" s="374" t="s">
        <v>521</v>
      </c>
      <c r="G194" s="374" t="s">
        <v>1077</v>
      </c>
      <c r="H194" s="374" t="s">
        <v>1078</v>
      </c>
      <c r="I194" s="374" t="s">
        <v>599</v>
      </c>
      <c r="J194" s="374" t="s">
        <v>1021</v>
      </c>
      <c r="K194" s="397" t="str">
        <f>IF(M$192=L$192,L194,ROUND(L194-((L194-M194)/(M$192-L$192))*(K$192-L$192),3))</f>
        <v>0,549</v>
      </c>
      <c r="L194" s="376" t="str">
        <f>IF(L$192=10,C194,HLOOKUP($L$192,$D$192:$J$197,3,TRUE))</f>
        <v>0,549</v>
      </c>
      <c r="M194" s="377" t="str">
        <f>IF(M$192=10,C194,HLOOKUP($M$192,$D$192:$J$197,3,TRUE))</f>
        <v>0,549</v>
      </c>
    </row>
    <row r="195" spans="1:13" ht="15">
      <c r="A195" s="372">
        <v>3</v>
      </c>
      <c r="B195" s="373" t="s">
        <v>472</v>
      </c>
      <c r="C195" s="374" t="s">
        <v>1079</v>
      </c>
      <c r="D195" s="374" t="s">
        <v>1080</v>
      </c>
      <c r="E195" s="374" t="s">
        <v>1081</v>
      </c>
      <c r="F195" s="374" t="s">
        <v>599</v>
      </c>
      <c r="G195" s="374" t="s">
        <v>515</v>
      </c>
      <c r="H195" s="374" t="s">
        <v>980</v>
      </c>
      <c r="I195" s="374" t="s">
        <v>505</v>
      </c>
      <c r="J195" s="374" t="s">
        <v>983</v>
      </c>
      <c r="K195" s="397" t="str">
        <f>IF(M$192=L$192,L195,ROUND(L195-((L195-M195)/(M$192-L$192))*(K$192-L$192),3))</f>
        <v>0,261</v>
      </c>
      <c r="L195" s="376" t="str">
        <f>IF(L$192=10,C195,HLOOKUP($L$192,$D$192:$J$197,4,TRUE))</f>
        <v>0,261</v>
      </c>
      <c r="M195" s="377" t="str">
        <f>IF(M$192=10,C195,HLOOKUP($M$192,$D$192:$J$197,4,TRUE))</f>
        <v>0,261</v>
      </c>
    </row>
    <row r="196" spans="1:13" ht="15">
      <c r="A196" s="372">
        <v>4</v>
      </c>
      <c r="B196" s="373" t="s">
        <v>479</v>
      </c>
      <c r="C196" s="374" t="s">
        <v>992</v>
      </c>
      <c r="D196" s="374" t="s">
        <v>492</v>
      </c>
      <c r="E196" s="374" t="s">
        <v>1040</v>
      </c>
      <c r="F196" s="374" t="s">
        <v>1082</v>
      </c>
      <c r="G196" s="374" t="s">
        <v>609</v>
      </c>
      <c r="H196" s="374" t="s">
        <v>1083</v>
      </c>
      <c r="I196" s="374" t="s">
        <v>504</v>
      </c>
      <c r="J196" s="374" t="s">
        <v>966</v>
      </c>
      <c r="K196" s="397" t="str">
        <f>IF(M$192=L$192,L196,ROUND(L196-((L196-M196)/(M$192-L$192))*(K$192-L$192),3))</f>
        <v>0,281</v>
      </c>
      <c r="L196" s="376" t="str">
        <f>IF(L$192=10,C196,HLOOKUP($L$192,$D$192:$J$197,5,TRUE))</f>
        <v>0,281</v>
      </c>
      <c r="M196" s="377" t="str">
        <f>IF(M$192=10,C196,HLOOKUP($M$192,$D$192:$J$197,5,TRUE))</f>
        <v>0,281</v>
      </c>
    </row>
    <row r="197" spans="1:13" ht="15">
      <c r="A197" s="372">
        <v>5</v>
      </c>
      <c r="B197" s="373" t="s">
        <v>486</v>
      </c>
      <c r="C197" s="374" t="s">
        <v>1067</v>
      </c>
      <c r="D197" s="374" t="s">
        <v>478</v>
      </c>
      <c r="E197" s="374" t="s">
        <v>1084</v>
      </c>
      <c r="F197" s="374" t="s">
        <v>566</v>
      </c>
      <c r="G197" s="374" t="s">
        <v>999</v>
      </c>
      <c r="H197" s="374" t="s">
        <v>1047</v>
      </c>
      <c r="I197" s="374" t="s">
        <v>970</v>
      </c>
      <c r="J197" s="374" t="s">
        <v>982</v>
      </c>
      <c r="K197" s="397" t="str">
        <f>IF(M$192=L$192,L197,ROUND(L197-((L197-M197)/(M$192-L$192))*(K$192-L$192),3))</f>
        <v>0,302</v>
      </c>
      <c r="L197" s="376" t="str">
        <f>IF(L$192=10,C197,HLOOKUP($L$192,$D$192:$J$197,6,TRUE))</f>
        <v>0,302</v>
      </c>
      <c r="M197" s="377" t="str">
        <f>IF(M$192=10,C197,HLOOKUP($M$192,$D$192:$J$197,6,TRUE))</f>
        <v>0,302</v>
      </c>
    </row>
    <row r="198" ht="15" hidden="1">
      <c r="A198" s="354" t="s">
        <v>1085</v>
      </c>
    </row>
    <row r="199" ht="15"/>
    <row r="200" spans="1:13" ht="15">
      <c r="A200" s="701" t="s">
        <v>1086</v>
      </c>
      <c r="B200" s="701"/>
      <c r="C200" s="701"/>
      <c r="D200" s="701"/>
      <c r="E200" s="701"/>
      <c r="F200" s="701"/>
      <c r="G200" s="701"/>
      <c r="H200" s="701"/>
      <c r="I200" s="701"/>
      <c r="J200" s="701"/>
      <c r="K200" s="701"/>
      <c r="L200" s="701"/>
      <c r="M200" s="701"/>
    </row>
    <row r="201" spans="9:14" ht="15">
      <c r="I201" s="702" t="s">
        <v>448</v>
      </c>
      <c r="J201" s="702"/>
      <c r="K201" s="702"/>
      <c r="L201" s="702"/>
      <c r="M201" s="702"/>
      <c r="N201" s="388"/>
    </row>
    <row r="202" spans="1:13" ht="15" hidden="1">
      <c r="A202" s="354" t="s">
        <v>1087</v>
      </c>
      <c r="M202" s="354" t="s">
        <v>450</v>
      </c>
    </row>
    <row r="203" spans="1:16" ht="16.5" customHeight="1">
      <c r="A203" s="705" t="s">
        <v>451</v>
      </c>
      <c r="B203" s="705" t="s">
        <v>452</v>
      </c>
      <c r="C203" s="706" t="s">
        <v>1088</v>
      </c>
      <c r="D203" s="706"/>
      <c r="E203" s="706"/>
      <c r="F203" s="706"/>
      <c r="G203" s="706"/>
      <c r="H203" s="706"/>
      <c r="I203" s="706"/>
      <c r="J203" s="706"/>
      <c r="K203" s="706"/>
      <c r="L203" s="706"/>
      <c r="M203" s="706"/>
      <c r="N203" s="381" t="s">
        <v>454</v>
      </c>
      <c r="O203" s="367" t="s">
        <v>455</v>
      </c>
      <c r="P203" s="369" t="s">
        <v>456</v>
      </c>
    </row>
    <row r="204" spans="1:16" ht="15">
      <c r="A204" s="705"/>
      <c r="B204" s="705"/>
      <c r="C204" s="370" t="s">
        <v>457</v>
      </c>
      <c r="D204" s="370">
        <v>20</v>
      </c>
      <c r="E204" s="370">
        <v>50</v>
      </c>
      <c r="F204" s="370">
        <v>100</v>
      </c>
      <c r="G204" s="370">
        <v>200</v>
      </c>
      <c r="H204" s="370">
        <v>500</v>
      </c>
      <c r="I204" s="371">
        <v>1000</v>
      </c>
      <c r="J204" s="371">
        <v>2000</v>
      </c>
      <c r="K204" s="371">
        <v>5000</v>
      </c>
      <c r="L204" s="371">
        <v>8000</v>
      </c>
      <c r="M204" s="371">
        <v>10000</v>
      </c>
      <c r="N204" s="381">
        <f>$C$4</f>
        <v>10.15604759</v>
      </c>
      <c r="O204" s="367">
        <f>IF(N204&lt;D204,10,IF(N204&gt;M204,M204,HLOOKUP(N204,D204:M204,1)))</f>
        <v>10</v>
      </c>
      <c r="P204" s="369">
        <f>IF(N204&lt;10,10,IF(N204&lt;20,20,IF(N204&gt;M204,M204,INDEX(D204:M204,MATCH(N204,D204:M204,1)+1))))</f>
        <v>20</v>
      </c>
    </row>
    <row r="205" spans="1:16" ht="15">
      <c r="A205" s="372">
        <v>1</v>
      </c>
      <c r="B205" s="373" t="s">
        <v>458</v>
      </c>
      <c r="C205" s="374" t="s">
        <v>1089</v>
      </c>
      <c r="D205" s="374" t="s">
        <v>1090</v>
      </c>
      <c r="E205" s="374" t="s">
        <v>1091</v>
      </c>
      <c r="F205" s="374" t="s">
        <v>1092</v>
      </c>
      <c r="G205" s="374" t="s">
        <v>1093</v>
      </c>
      <c r="H205" s="374" t="s">
        <v>1094</v>
      </c>
      <c r="I205" s="374" t="s">
        <v>1095</v>
      </c>
      <c r="J205" s="374" t="s">
        <v>1096</v>
      </c>
      <c r="K205" s="374" t="s">
        <v>1097</v>
      </c>
      <c r="L205" s="374" t="s">
        <v>1098</v>
      </c>
      <c r="M205" s="374" t="s">
        <v>1099</v>
      </c>
      <c r="N205" s="397">
        <f>IF(P$204=O$204,O205,ROUND(O205-((O205-P205)/(P$204-O$204))*(N$204-O$204),3))</f>
        <v>3.278</v>
      </c>
      <c r="O205" s="379" t="str">
        <f>IF(O$204=10,C205,HLOOKUP($O$204,$D$204:$M$209,2,TRUE))</f>
        <v>3,285</v>
      </c>
      <c r="P205" s="377" t="str">
        <f>IF(P$204=10,C205,HLOOKUP($P$204,$D$204:$M$209,2,TRUE))</f>
        <v>2,853</v>
      </c>
    </row>
    <row r="206" spans="1:16" ht="15">
      <c r="A206" s="372">
        <v>2</v>
      </c>
      <c r="B206" s="373" t="s">
        <v>465</v>
      </c>
      <c r="C206" s="374" t="s">
        <v>1100</v>
      </c>
      <c r="D206" s="374" t="s">
        <v>1101</v>
      </c>
      <c r="E206" s="374" t="s">
        <v>1102</v>
      </c>
      <c r="F206" s="374" t="s">
        <v>1103</v>
      </c>
      <c r="G206" s="374" t="s">
        <v>1104</v>
      </c>
      <c r="H206" s="374" t="s">
        <v>1105</v>
      </c>
      <c r="I206" s="374" t="s">
        <v>1106</v>
      </c>
      <c r="J206" s="374" t="s">
        <v>1107</v>
      </c>
      <c r="K206" s="374" t="s">
        <v>1108</v>
      </c>
      <c r="L206" s="374" t="s">
        <v>1109</v>
      </c>
      <c r="M206" s="374" t="s">
        <v>1110</v>
      </c>
      <c r="N206" s="397">
        <f>IF(P$204=O$204,O206,ROUND(O206-((O206-P206)/(P$204-O$204))*(N$204-O$204),3))</f>
        <v>3.502</v>
      </c>
      <c r="O206" s="379" t="str">
        <f>IF(O$204=10,C206,HLOOKUP($O$204,$D$204:$M$209,3,TRUE))</f>
        <v>3,508</v>
      </c>
      <c r="P206" s="377" t="str">
        <f>IF(P$204=10,C206,HLOOKUP($P$204,$D$204:$M$209,3,TRUE))</f>
        <v>3,137</v>
      </c>
    </row>
    <row r="207" spans="1:16" ht="15">
      <c r="A207" s="372">
        <v>3</v>
      </c>
      <c r="B207" s="373" t="s">
        <v>472</v>
      </c>
      <c r="C207" s="374" t="s">
        <v>1111</v>
      </c>
      <c r="D207" s="374" t="s">
        <v>1112</v>
      </c>
      <c r="E207" s="374" t="s">
        <v>1113</v>
      </c>
      <c r="F207" s="374" t="s">
        <v>1114</v>
      </c>
      <c r="G207" s="374" t="s">
        <v>1115</v>
      </c>
      <c r="H207" s="374" t="s">
        <v>1116</v>
      </c>
      <c r="I207" s="374" t="s">
        <v>1117</v>
      </c>
      <c r="J207" s="374" t="s">
        <v>1118</v>
      </c>
      <c r="K207" s="374" t="s">
        <v>1109</v>
      </c>
      <c r="L207" s="374" t="s">
        <v>1119</v>
      </c>
      <c r="M207" s="374" t="s">
        <v>1120</v>
      </c>
      <c r="N207" s="397">
        <f>IF(P$204=O$204,O207,ROUND(O207-((O207-P207)/(P$204-O$204))*(N$204-O$204),3))</f>
        <v>3.195</v>
      </c>
      <c r="O207" s="379" t="str">
        <f>IF(O$204=10,C207,HLOOKUP($O$204,$D$204:$M$209,4,TRUE))</f>
        <v>3,203</v>
      </c>
      <c r="P207" s="377" t="str">
        <f>IF(P$204=10,C207,HLOOKUP($P$204,$D$204:$M$209,4,TRUE))</f>
        <v>2,700</v>
      </c>
    </row>
    <row r="208" spans="1:16" ht="15">
      <c r="A208" s="372">
        <v>4</v>
      </c>
      <c r="B208" s="373" t="s">
        <v>479</v>
      </c>
      <c r="C208" s="374" t="s">
        <v>1121</v>
      </c>
      <c r="D208" s="374" t="s">
        <v>1122</v>
      </c>
      <c r="E208" s="374" t="s">
        <v>1123</v>
      </c>
      <c r="F208" s="374" t="s">
        <v>1124</v>
      </c>
      <c r="G208" s="374" t="s">
        <v>1125</v>
      </c>
      <c r="H208" s="374" t="s">
        <v>1126</v>
      </c>
      <c r="I208" s="374" t="s">
        <v>1127</v>
      </c>
      <c r="J208" s="374" t="s">
        <v>1109</v>
      </c>
      <c r="K208" s="374" t="s">
        <v>1128</v>
      </c>
      <c r="L208" s="374" t="s">
        <v>1129</v>
      </c>
      <c r="M208" s="374" t="s">
        <v>1130</v>
      </c>
      <c r="N208" s="397">
        <f>IF(P$204=O$204,O208,ROUND(O208-((O208-P208)/(P$204-O$204))*(N$204-O$204),3))</f>
        <v>2.593</v>
      </c>
      <c r="O208" s="379" t="str">
        <f>IF(O$204=10,C208,HLOOKUP($O$204,$D$204:$M$209,5,TRUE))</f>
        <v>2,598</v>
      </c>
      <c r="P208" s="377" t="str">
        <f>IF(P$204=10,C208,HLOOKUP($P$204,$D$204:$M$209,5,TRUE))</f>
        <v>2,292</v>
      </c>
    </row>
    <row r="209" spans="1:16" ht="15">
      <c r="A209" s="372">
        <v>5</v>
      </c>
      <c r="B209" s="373" t="s">
        <v>486</v>
      </c>
      <c r="C209" s="374" t="s">
        <v>1131</v>
      </c>
      <c r="D209" s="374" t="s">
        <v>1132</v>
      </c>
      <c r="E209" s="374" t="s">
        <v>1133</v>
      </c>
      <c r="F209" s="374" t="s">
        <v>1134</v>
      </c>
      <c r="G209" s="374" t="s">
        <v>1135</v>
      </c>
      <c r="H209" s="374" t="s">
        <v>460</v>
      </c>
      <c r="I209" s="374" t="s">
        <v>1136</v>
      </c>
      <c r="J209" s="374" t="s">
        <v>1137</v>
      </c>
      <c r="K209" s="374" t="s">
        <v>1138</v>
      </c>
      <c r="L209" s="374" t="s">
        <v>1139</v>
      </c>
      <c r="M209" s="374" t="s">
        <v>1140</v>
      </c>
      <c r="N209" s="397" t="e">
        <f>IF(P$204=O$204,O209,ROUND(O209-((O209-P209)/(P$204-O$204))*(N$204-O$204),3))</f>
        <v>#VALUE!</v>
      </c>
      <c r="O209" s="379" t="str">
        <f>IF(O$204=10,C209,HLOOKUP($O$204,$D$204:$M$209,6,TRUE))</f>
        <v>2,566</v>
      </c>
      <c r="P209" s="377" t="str">
        <f>IF(P$204=10,C209,HLOOKUP($P$204,$D$204:$M$209,6,TRUE))</f>
        <v>2,2 56</v>
      </c>
    </row>
    <row r="210" ht="15" hidden="1">
      <c r="A210" s="354" t="s">
        <v>1141</v>
      </c>
    </row>
    <row r="211" ht="15"/>
    <row r="212" spans="1:13" ht="15">
      <c r="A212" s="701" t="s">
        <v>1142</v>
      </c>
      <c r="B212" s="701"/>
      <c r="C212" s="701"/>
      <c r="D212" s="701"/>
      <c r="E212" s="701"/>
      <c r="F212" s="701"/>
      <c r="G212" s="701"/>
      <c r="H212" s="701"/>
      <c r="I212" s="701"/>
      <c r="J212" s="701"/>
      <c r="K212" s="701"/>
      <c r="L212" s="701"/>
      <c r="M212" s="701"/>
    </row>
    <row r="213" spans="9:14" ht="15">
      <c r="I213" s="702" t="s">
        <v>448</v>
      </c>
      <c r="J213" s="702"/>
      <c r="K213" s="702"/>
      <c r="L213" s="702"/>
      <c r="M213" s="702"/>
      <c r="N213" s="388"/>
    </row>
    <row r="214" spans="1:13" ht="15" hidden="1">
      <c r="A214" s="354" t="s">
        <v>1143</v>
      </c>
      <c r="M214" s="354" t="s">
        <v>450</v>
      </c>
    </row>
    <row r="215" spans="1:16" ht="16.5" customHeight="1">
      <c r="A215" s="705" t="s">
        <v>451</v>
      </c>
      <c r="B215" s="705" t="s">
        <v>452</v>
      </c>
      <c r="C215" s="706" t="s">
        <v>1144</v>
      </c>
      <c r="D215" s="706"/>
      <c r="E215" s="706"/>
      <c r="F215" s="706"/>
      <c r="G215" s="706"/>
      <c r="H215" s="706"/>
      <c r="I215" s="706"/>
      <c r="J215" s="706"/>
      <c r="K215" s="706"/>
      <c r="L215" s="706"/>
      <c r="M215" s="706"/>
      <c r="N215" s="381" t="s">
        <v>454</v>
      </c>
      <c r="O215" s="367" t="s">
        <v>455</v>
      </c>
      <c r="P215" s="369" t="s">
        <v>456</v>
      </c>
    </row>
    <row r="216" spans="1:16" ht="15">
      <c r="A216" s="705"/>
      <c r="B216" s="705"/>
      <c r="C216" s="370" t="s">
        <v>457</v>
      </c>
      <c r="D216" s="370">
        <v>20</v>
      </c>
      <c r="E216" s="370">
        <v>50</v>
      </c>
      <c r="F216" s="370">
        <v>100</v>
      </c>
      <c r="G216" s="370">
        <v>200</v>
      </c>
      <c r="H216" s="370">
        <v>500</v>
      </c>
      <c r="I216" s="371">
        <v>1000</v>
      </c>
      <c r="J216" s="371">
        <v>2000</v>
      </c>
      <c r="K216" s="371">
        <v>5000</v>
      </c>
      <c r="L216" s="371">
        <v>8000</v>
      </c>
      <c r="M216" s="371">
        <v>10000</v>
      </c>
      <c r="N216" s="381">
        <f>$C$5</f>
        <v>0</v>
      </c>
      <c r="O216" s="367">
        <f>IF(N216&lt;D216,10,IF(N216&gt;M216,M216,HLOOKUP(N216,D216:M216,1)))</f>
        <v>10</v>
      </c>
      <c r="P216" s="369">
        <f>IF(N216&lt;10,10,IF(N216&lt;20,20,IF(N216&gt;M216,M216,INDEX(D216:M216,MATCH(N216,D216:M216,1)+1))))</f>
        <v>10</v>
      </c>
    </row>
    <row r="217" spans="1:16" ht="15">
      <c r="A217" s="372">
        <v>1</v>
      </c>
      <c r="B217" s="373" t="s">
        <v>458</v>
      </c>
      <c r="C217" s="374" t="s">
        <v>1145</v>
      </c>
      <c r="D217" s="374" t="s">
        <v>1146</v>
      </c>
      <c r="E217" s="374" t="s">
        <v>1147</v>
      </c>
      <c r="F217" s="374" t="s">
        <v>1148</v>
      </c>
      <c r="G217" s="374" t="s">
        <v>471</v>
      </c>
      <c r="H217" s="374" t="s">
        <v>1079</v>
      </c>
      <c r="I217" s="374" t="s">
        <v>1149</v>
      </c>
      <c r="J217" s="374" t="s">
        <v>997</v>
      </c>
      <c r="K217" s="374" t="s">
        <v>1150</v>
      </c>
      <c r="L217" s="374" t="s">
        <v>546</v>
      </c>
      <c r="M217" s="374" t="s">
        <v>514</v>
      </c>
      <c r="N217" s="397" t="str">
        <f>IF(P$216=O$216,O217,ROUND(O217-((O217-P217)/(P$216-O$216))*(N$216-O$216),3))</f>
        <v>0,844</v>
      </c>
      <c r="O217" s="379" t="str">
        <f>IF(O$216=10,C217,HLOOKUP($O$216,$D$216:$M$221,2,TRUE))</f>
        <v>0,844</v>
      </c>
      <c r="P217" s="377" t="str">
        <f>IF(P$216=10,C217,HLOOKUP($P$216,$D$216:$M$221,2,TRUE))</f>
        <v>0,844</v>
      </c>
    </row>
    <row r="218" spans="1:16" ht="15">
      <c r="A218" s="372">
        <v>2</v>
      </c>
      <c r="B218" s="373" t="s">
        <v>465</v>
      </c>
      <c r="C218" s="374" t="s">
        <v>1151</v>
      </c>
      <c r="D218" s="374" t="s">
        <v>1152</v>
      </c>
      <c r="E218" s="374" t="s">
        <v>1153</v>
      </c>
      <c r="F218" s="374" t="s">
        <v>1154</v>
      </c>
      <c r="G218" s="374" t="s">
        <v>1128</v>
      </c>
      <c r="H218" s="374" t="s">
        <v>1155</v>
      </c>
      <c r="I218" s="374" t="s">
        <v>1156</v>
      </c>
      <c r="J218" s="374" t="s">
        <v>1157</v>
      </c>
      <c r="K218" s="374" t="s">
        <v>1158</v>
      </c>
      <c r="L218" s="374" t="s">
        <v>1080</v>
      </c>
      <c r="M218" s="374" t="s">
        <v>1159</v>
      </c>
      <c r="N218" s="397" t="str">
        <f>IF(P$216=O$216,O218,ROUND(O218-((O218-P218)/(P$216-O$216))*(N$216-O$216),3))</f>
        <v>1,147</v>
      </c>
      <c r="O218" s="379" t="str">
        <f>IF(O$216=10,C218,HLOOKUP($O$216,$D$216:$M$221,3,TRUE))</f>
        <v>1,147</v>
      </c>
      <c r="P218" s="377" t="str">
        <f>IF(P$216=10,C218,HLOOKUP($P$216,$D$216:$M$221,3,TRUE))</f>
        <v>1,147</v>
      </c>
    </row>
    <row r="219" spans="1:16" ht="15">
      <c r="A219" s="372">
        <v>3</v>
      </c>
      <c r="B219" s="373" t="s">
        <v>472</v>
      </c>
      <c r="C219" s="374" t="s">
        <v>461</v>
      </c>
      <c r="D219" s="374" t="s">
        <v>1160</v>
      </c>
      <c r="E219" s="374" t="s">
        <v>462</v>
      </c>
      <c r="F219" s="374" t="s">
        <v>1161</v>
      </c>
      <c r="G219" s="374" t="s">
        <v>1079</v>
      </c>
      <c r="H219" s="374" t="s">
        <v>1162</v>
      </c>
      <c r="I219" s="374" t="s">
        <v>1019</v>
      </c>
      <c r="J219" s="374" t="s">
        <v>607</v>
      </c>
      <c r="K219" s="374" t="s">
        <v>514</v>
      </c>
      <c r="L219" s="374" t="s">
        <v>1007</v>
      </c>
      <c r="M219" s="374" t="s">
        <v>1163</v>
      </c>
      <c r="N219" s="397" t="str">
        <f>IF(P$216=O$216,O219,ROUND(O219-((O219-P219)/(P$216-O$216))*(N$216-O$216),3))</f>
        <v>0,677</v>
      </c>
      <c r="O219" s="379" t="str">
        <f>IF(O$216=10,C219,HLOOKUP($O$216,$D$216:$M$221,4,TRUE))</f>
        <v>0,677</v>
      </c>
      <c r="P219" s="377" t="str">
        <f>IF(P$216=10,C219,HLOOKUP($P$216,$D$216:$M$221,4,TRUE))</f>
        <v>0,677</v>
      </c>
    </row>
    <row r="220" spans="1:16" ht="15">
      <c r="A220" s="372">
        <v>4</v>
      </c>
      <c r="B220" s="373" t="s">
        <v>479</v>
      </c>
      <c r="C220" s="374" t="s">
        <v>1164</v>
      </c>
      <c r="D220" s="374" t="s">
        <v>1165</v>
      </c>
      <c r="E220" s="374" t="s">
        <v>1166</v>
      </c>
      <c r="F220" s="374" t="s">
        <v>484</v>
      </c>
      <c r="G220" s="374" t="s">
        <v>1167</v>
      </c>
      <c r="H220" s="374" t="s">
        <v>1168</v>
      </c>
      <c r="I220" s="374" t="s">
        <v>1169</v>
      </c>
      <c r="J220" s="374" t="s">
        <v>990</v>
      </c>
      <c r="K220" s="374" t="s">
        <v>586</v>
      </c>
      <c r="L220" s="374" t="s">
        <v>962</v>
      </c>
      <c r="M220" s="374" t="s">
        <v>1170</v>
      </c>
      <c r="N220" s="397" t="str">
        <f>IF(P$216=O$216,O220,ROUND(O220-((O220-P220)/(P$216-O$216))*(N$216-O$216),3))</f>
        <v>0,718</v>
      </c>
      <c r="O220" s="379" t="str">
        <f>IF(O$216=10,C220,HLOOKUP($O$216,$D$216:$M$221,5,TRUE))</f>
        <v>0,718</v>
      </c>
      <c r="P220" s="377" t="str">
        <f>IF(P$216=10,C220,HLOOKUP($P$216,$D$216:$M$221,5,TRUE))</f>
        <v>0,718</v>
      </c>
    </row>
    <row r="221" spans="1:16" ht="15">
      <c r="A221" s="372">
        <v>5</v>
      </c>
      <c r="B221" s="373" t="s">
        <v>486</v>
      </c>
      <c r="C221" s="374" t="s">
        <v>1171</v>
      </c>
      <c r="D221" s="374" t="s">
        <v>1172</v>
      </c>
      <c r="E221" s="374" t="s">
        <v>1173</v>
      </c>
      <c r="F221" s="374" t="s">
        <v>1174</v>
      </c>
      <c r="G221" s="374" t="s">
        <v>1175</v>
      </c>
      <c r="H221" s="374" t="s">
        <v>1079</v>
      </c>
      <c r="I221" s="374" t="s">
        <v>1176</v>
      </c>
      <c r="J221" s="374" t="s">
        <v>1177</v>
      </c>
      <c r="K221" s="374" t="s">
        <v>1178</v>
      </c>
      <c r="L221" s="374" t="s">
        <v>1041</v>
      </c>
      <c r="M221" s="374" t="s">
        <v>1053</v>
      </c>
      <c r="N221" s="397" t="str">
        <f>IF(P$216=O$216,O221,ROUND(O221-((O221-P221)/(P$216-O$216))*(N$216-O$216),3))</f>
        <v>0,803</v>
      </c>
      <c r="O221" s="379" t="str">
        <f>IF(O$216=10,C221,HLOOKUP($O$216,$D$216:$M$221,6,TRUE))</f>
        <v>0,803</v>
      </c>
      <c r="P221" s="377" t="str">
        <f>IF(P$216=10,C221,HLOOKUP($P$216,$D$216:$M$221,6,TRUE))</f>
        <v>0,803</v>
      </c>
    </row>
    <row r="222" ht="15" hidden="1">
      <c r="A222" s="354" t="s">
        <v>1179</v>
      </c>
    </row>
    <row r="223" ht="15"/>
    <row r="224" ht="15"/>
    <row r="225" ht="15">
      <c r="A225" s="444" t="s">
        <v>1198</v>
      </c>
    </row>
    <row r="226" ht="15"/>
    <row r="227" spans="1:16" ht="15">
      <c r="A227" s="705" t="s">
        <v>451</v>
      </c>
      <c r="B227" s="705" t="s">
        <v>1199</v>
      </c>
      <c r="C227" s="706" t="s">
        <v>1144</v>
      </c>
      <c r="D227" s="706"/>
      <c r="E227" s="706"/>
      <c r="F227" s="706"/>
      <c r="G227" s="706"/>
      <c r="H227" s="706"/>
      <c r="I227" s="706"/>
      <c r="J227" s="706"/>
      <c r="K227" s="706"/>
      <c r="L227" s="706"/>
      <c r="M227" s="706"/>
      <c r="N227" s="381" t="s">
        <v>454</v>
      </c>
      <c r="O227" s="367" t="s">
        <v>455</v>
      </c>
      <c r="P227" s="369" t="s">
        <v>456</v>
      </c>
    </row>
    <row r="228" spans="1:16" ht="15">
      <c r="A228" s="705"/>
      <c r="B228" s="705"/>
      <c r="C228" s="443" t="s">
        <v>613</v>
      </c>
      <c r="D228" s="443">
        <v>5</v>
      </c>
      <c r="E228" s="443">
        <v>10</v>
      </c>
      <c r="F228" s="443">
        <v>20</v>
      </c>
      <c r="G228" s="443">
        <v>50</v>
      </c>
      <c r="H228" s="443"/>
      <c r="I228" s="371"/>
      <c r="J228" s="371"/>
      <c r="K228" s="371"/>
      <c r="L228" s="371"/>
      <c r="M228" s="371"/>
      <c r="N228" s="403">
        <f>C7</f>
        <v>0.10909090909090909</v>
      </c>
      <c r="O228" s="367">
        <f>IF(N228&lt;D228,1,IF(N228&gt;G228,G228,HLOOKUP(N228,D228:G228,1)))</f>
        <v>1</v>
      </c>
      <c r="P228" s="369">
        <f>IF(N228&lt;1,1,IF(N228&lt;5,5,IF(N228&gt;G228,G228,INDEX(D228:G228,MATCH(N228,D228:G228,1)+1))))</f>
        <v>1</v>
      </c>
    </row>
    <row r="229" spans="1:16" ht="15">
      <c r="A229" s="372">
        <v>1</v>
      </c>
      <c r="B229" s="373" t="s">
        <v>1200</v>
      </c>
      <c r="C229" s="374">
        <v>4.072</v>
      </c>
      <c r="D229" s="374">
        <v>3.541</v>
      </c>
      <c r="E229" s="374">
        <v>3.079</v>
      </c>
      <c r="F229" s="374">
        <v>2.707</v>
      </c>
      <c r="G229" s="374">
        <v>2.381</v>
      </c>
      <c r="H229" s="374"/>
      <c r="I229" s="374"/>
      <c r="J229" s="374"/>
      <c r="K229" s="374"/>
      <c r="L229" s="374"/>
      <c r="M229" s="374"/>
      <c r="N229" s="397">
        <f>IF(P$228=O$228,O229,ROUND(O229-((O229-P229)/(P$228-O$228))*(N$228-O$228),3))</f>
        <v>4.072</v>
      </c>
      <c r="O229" s="379">
        <f>IF(O$228=1,C229,HLOOKUP($O$228,$C$228:$G$229,2,TRUE))</f>
        <v>4.072</v>
      </c>
      <c r="P229" s="377">
        <f>IF(P$228=1,C229,HLOOKUP($P$228,$C$228:$G$229,2,TRUE))</f>
        <v>4.072</v>
      </c>
    </row>
  </sheetData>
  <sheetProtection password="CACB" sheet="1" formatCells="0" formatColumns="0" formatRows="0" insertColumns="0" insertRows="0" insertHyperlinks="0" deleteColumns="0" deleteRows="0" sort="0" autoFilter="0" pivotTables="0"/>
  <mergeCells count="78">
    <mergeCell ref="A227:A228"/>
    <mergeCell ref="B227:B228"/>
    <mergeCell ref="C227:M227"/>
    <mergeCell ref="A7:B7"/>
    <mergeCell ref="C7:D7"/>
    <mergeCell ref="A203:A204"/>
    <mergeCell ref="B203:B204"/>
    <mergeCell ref="C203:M203"/>
    <mergeCell ref="A212:M212"/>
    <mergeCell ref="I213:M213"/>
    <mergeCell ref="A215:A216"/>
    <mergeCell ref="B215:B216"/>
    <mergeCell ref="C215:M215"/>
    <mergeCell ref="I189:J189"/>
    <mergeCell ref="A191:A192"/>
    <mergeCell ref="B191:B192"/>
    <mergeCell ref="C191:J191"/>
    <mergeCell ref="A200:M200"/>
    <mergeCell ref="I201:M201"/>
    <mergeCell ref="A176:M176"/>
    <mergeCell ref="I177:J177"/>
    <mergeCell ref="A179:A180"/>
    <mergeCell ref="B179:B180"/>
    <mergeCell ref="C179:J179"/>
    <mergeCell ref="A188:M188"/>
    <mergeCell ref="A155:A156"/>
    <mergeCell ref="B155:B156"/>
    <mergeCell ref="C155:M155"/>
    <mergeCell ref="A164:M164"/>
    <mergeCell ref="I165:M165"/>
    <mergeCell ref="A167:A168"/>
    <mergeCell ref="B167:B168"/>
    <mergeCell ref="C167:M167"/>
    <mergeCell ref="K141:N141"/>
    <mergeCell ref="A143:A144"/>
    <mergeCell ref="B143:B144"/>
    <mergeCell ref="C143:N143"/>
    <mergeCell ref="A152:N152"/>
    <mergeCell ref="I153:M153"/>
    <mergeCell ref="A128:M128"/>
    <mergeCell ref="K129:N129"/>
    <mergeCell ref="A131:A132"/>
    <mergeCell ref="B131:B132"/>
    <mergeCell ref="C131:N131"/>
    <mergeCell ref="A140:M140"/>
    <mergeCell ref="A47:A48"/>
    <mergeCell ref="B47:B48"/>
    <mergeCell ref="C47:F47"/>
    <mergeCell ref="A56:G56"/>
    <mergeCell ref="J57:M57"/>
    <mergeCell ref="A59:A60"/>
    <mergeCell ref="B59:B60"/>
    <mergeCell ref="C59:M59"/>
    <mergeCell ref="K33:N33"/>
    <mergeCell ref="A35:A36"/>
    <mergeCell ref="B35:B36"/>
    <mergeCell ref="C35:N35"/>
    <mergeCell ref="A44:G44"/>
    <mergeCell ref="C45:F45"/>
    <mergeCell ref="A20:G20"/>
    <mergeCell ref="K21:N21"/>
    <mergeCell ref="A23:A24"/>
    <mergeCell ref="B23:B24"/>
    <mergeCell ref="C23:N23"/>
    <mergeCell ref="A32:G32"/>
    <mergeCell ref="O9:Q9"/>
    <mergeCell ref="A11:A12"/>
    <mergeCell ref="B11:B12"/>
    <mergeCell ref="C11:N11"/>
    <mergeCell ref="C5:D5"/>
    <mergeCell ref="A5:B5"/>
    <mergeCell ref="A4:B4"/>
    <mergeCell ref="A1:N1"/>
    <mergeCell ref="A2:N2"/>
    <mergeCell ref="G7:J7"/>
    <mergeCell ref="A8:G8"/>
    <mergeCell ref="K9:N9"/>
    <mergeCell ref="C4:D4"/>
  </mergeCells>
  <printOptions/>
  <pageMargins left="0.7" right="0.7" top="0.75" bottom="0.75" header="0.3" footer="0.3"/>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3"/>
  <dimension ref="B2:K28"/>
  <sheetViews>
    <sheetView zoomScalePageLayoutView="0" workbookViewId="0" topLeftCell="A7">
      <selection activeCell="C17" sqref="C17"/>
    </sheetView>
  </sheetViews>
  <sheetFormatPr defaultColWidth="9.140625" defaultRowHeight="12.75"/>
  <cols>
    <col min="1" max="2" width="9.140625" style="198" customWidth="1"/>
    <col min="3" max="3" width="12.57421875" style="198" customWidth="1"/>
    <col min="4" max="8" width="9.140625" style="198" customWidth="1"/>
    <col min="9" max="9" width="25.421875" style="198" customWidth="1"/>
    <col min="10" max="16384" width="9.140625" style="198" customWidth="1"/>
  </cols>
  <sheetData>
    <row r="2" spans="2:11" ht="12.75" customHeight="1">
      <c r="B2" s="711" t="s">
        <v>1202</v>
      </c>
      <c r="C2" s="711"/>
      <c r="D2" s="711"/>
      <c r="E2" s="711"/>
      <c r="F2" s="711"/>
      <c r="G2" s="711"/>
      <c r="H2" s="711"/>
      <c r="I2" s="711"/>
      <c r="J2" s="711"/>
      <c r="K2" s="438"/>
    </row>
    <row r="3" spans="2:11" ht="12.75" customHeight="1">
      <c r="B3" s="711"/>
      <c r="C3" s="711"/>
      <c r="D3" s="711"/>
      <c r="E3" s="711"/>
      <c r="F3" s="711"/>
      <c r="G3" s="711"/>
      <c r="H3" s="711"/>
      <c r="I3" s="711"/>
      <c r="J3" s="711"/>
      <c r="K3" s="438"/>
    </row>
    <row r="4" spans="3:9" ht="15.75">
      <c r="C4" s="439" t="s">
        <v>1192</v>
      </c>
      <c r="D4" s="713" t="s">
        <v>452</v>
      </c>
      <c r="E4" s="713"/>
      <c r="F4" s="713"/>
      <c r="G4" s="713"/>
      <c r="H4" s="713"/>
      <c r="I4" s="713"/>
    </row>
    <row r="5" spans="3:9" ht="15.75">
      <c r="C5" s="440">
        <v>0.8</v>
      </c>
      <c r="D5" s="712" t="s">
        <v>1203</v>
      </c>
      <c r="E5" s="712"/>
      <c r="F5" s="712"/>
      <c r="G5" s="712"/>
      <c r="H5" s="712"/>
      <c r="I5" s="712"/>
    </row>
    <row r="6" spans="3:9" ht="33.75" customHeight="1">
      <c r="C6" s="440">
        <v>1.35</v>
      </c>
      <c r="D6" s="714" t="s">
        <v>1204</v>
      </c>
      <c r="E6" s="715"/>
      <c r="F6" s="715"/>
      <c r="G6" s="715"/>
      <c r="H6" s="715"/>
      <c r="I6" s="716"/>
    </row>
    <row r="7" spans="3:9" ht="15.75">
      <c r="C7" s="440">
        <v>1.1</v>
      </c>
      <c r="D7" s="712" t="s">
        <v>1205</v>
      </c>
      <c r="E7" s="712"/>
      <c r="F7" s="712"/>
      <c r="G7" s="712"/>
      <c r="H7" s="712"/>
      <c r="I7" s="712"/>
    </row>
    <row r="8" spans="3:9" ht="15.75">
      <c r="C8" s="440">
        <v>0.8</v>
      </c>
      <c r="D8" s="712" t="s">
        <v>1206</v>
      </c>
      <c r="E8" s="712"/>
      <c r="F8" s="712"/>
      <c r="G8" s="712"/>
      <c r="H8" s="712"/>
      <c r="I8" s="712"/>
    </row>
    <row r="12" spans="2:11" ht="12.75" customHeight="1">
      <c r="B12" s="711" t="s">
        <v>1189</v>
      </c>
      <c r="C12" s="711"/>
      <c r="D12" s="711"/>
      <c r="E12" s="711"/>
      <c r="F12" s="711"/>
      <c r="G12" s="711"/>
      <c r="H12" s="711"/>
      <c r="I12" s="711"/>
      <c r="J12" s="711"/>
      <c r="K12" s="438"/>
    </row>
    <row r="13" spans="2:11" ht="12.75" customHeight="1">
      <c r="B13" s="711"/>
      <c r="C13" s="711"/>
      <c r="D13" s="711"/>
      <c r="E13" s="711"/>
      <c r="F13" s="711"/>
      <c r="G13" s="711"/>
      <c r="H13" s="711"/>
      <c r="I13" s="711"/>
      <c r="J13" s="711"/>
      <c r="K13" s="438"/>
    </row>
    <row r="14" spans="3:9" ht="15.75">
      <c r="C14" s="439" t="s">
        <v>1192</v>
      </c>
      <c r="D14" s="713" t="s">
        <v>452</v>
      </c>
      <c r="E14" s="713"/>
      <c r="F14" s="713"/>
      <c r="G14" s="713"/>
      <c r="H14" s="713"/>
      <c r="I14" s="713"/>
    </row>
    <row r="15" spans="3:9" ht="15.75">
      <c r="C15" s="440">
        <v>1</v>
      </c>
      <c r="D15" s="712" t="s">
        <v>1191</v>
      </c>
      <c r="E15" s="712"/>
      <c r="F15" s="712"/>
      <c r="G15" s="712"/>
      <c r="H15" s="712"/>
      <c r="I15" s="712"/>
    </row>
    <row r="16" spans="3:9" ht="15.75">
      <c r="C16" s="440">
        <v>1.1</v>
      </c>
      <c r="D16" s="712" t="s">
        <v>1190</v>
      </c>
      <c r="E16" s="712"/>
      <c r="F16" s="712"/>
      <c r="G16" s="712"/>
      <c r="H16" s="712"/>
      <c r="I16" s="712"/>
    </row>
    <row r="21" spans="2:10" ht="15.75">
      <c r="B21" s="711" t="s">
        <v>1189</v>
      </c>
      <c r="C21" s="711"/>
      <c r="D21" s="711"/>
      <c r="E21" s="711"/>
      <c r="F21" s="711"/>
      <c r="G21" s="711"/>
      <c r="H21" s="711"/>
      <c r="I21" s="711"/>
      <c r="J21" s="711"/>
    </row>
    <row r="22" spans="2:10" ht="15.75">
      <c r="B22" s="711"/>
      <c r="C22" s="711"/>
      <c r="D22" s="711"/>
      <c r="E22" s="711"/>
      <c r="F22" s="711"/>
      <c r="G22" s="711"/>
      <c r="H22" s="711"/>
      <c r="I22" s="711"/>
      <c r="J22" s="711"/>
    </row>
    <row r="23" spans="3:9" ht="15.75">
      <c r="C23" s="439" t="s">
        <v>1192</v>
      </c>
      <c r="D23" s="713" t="s">
        <v>452</v>
      </c>
      <c r="E23" s="713"/>
      <c r="F23" s="713"/>
      <c r="G23" s="713"/>
      <c r="H23" s="713"/>
      <c r="I23" s="713"/>
    </row>
    <row r="24" spans="3:9" ht="15.75">
      <c r="C24" s="440">
        <v>0.8</v>
      </c>
      <c r="D24" s="717" t="s">
        <v>1195</v>
      </c>
      <c r="E24" s="718"/>
      <c r="F24" s="718"/>
      <c r="G24" s="718"/>
      <c r="H24" s="718"/>
      <c r="I24" s="719"/>
    </row>
    <row r="25" spans="3:9" ht="15.75">
      <c r="C25" s="440">
        <v>0.8</v>
      </c>
      <c r="D25" s="720" t="s">
        <v>1196</v>
      </c>
      <c r="E25" s="721"/>
      <c r="F25" s="721"/>
      <c r="G25" s="721"/>
      <c r="H25" s="721"/>
      <c r="I25" s="722"/>
    </row>
    <row r="26" spans="3:9" ht="15.75">
      <c r="C26" s="441">
        <v>1</v>
      </c>
      <c r="D26" s="712" t="s">
        <v>1197</v>
      </c>
      <c r="E26" s="712"/>
      <c r="F26" s="712"/>
      <c r="G26" s="712"/>
      <c r="H26" s="712"/>
      <c r="I26" s="712"/>
    </row>
    <row r="27" spans="3:9" ht="30" customHeight="1">
      <c r="C27" s="441">
        <v>1.1</v>
      </c>
      <c r="D27" s="714" t="s">
        <v>1194</v>
      </c>
      <c r="E27" s="715"/>
      <c r="F27" s="715"/>
      <c r="G27" s="715"/>
      <c r="H27" s="715"/>
      <c r="I27" s="716"/>
    </row>
    <row r="28" spans="3:9" ht="15.75">
      <c r="C28" s="441">
        <v>1.15</v>
      </c>
      <c r="D28" s="712" t="s">
        <v>1193</v>
      </c>
      <c r="E28" s="712"/>
      <c r="F28" s="712"/>
      <c r="G28" s="712"/>
      <c r="H28" s="712"/>
      <c r="I28" s="712"/>
    </row>
  </sheetData>
  <sheetProtection password="CACB" sheet="1" formatCells="0" formatColumns="0" formatRows="0" insertColumns="0" insertRows="0" insertHyperlinks="0" deleteColumns="0" deleteRows="0" sort="0" autoFilter="0" pivotTables="0"/>
  <mergeCells count="17">
    <mergeCell ref="D26:I26"/>
    <mergeCell ref="D28:I28"/>
    <mergeCell ref="D27:I27"/>
    <mergeCell ref="D24:I24"/>
    <mergeCell ref="D25:I25"/>
    <mergeCell ref="D14:I14"/>
    <mergeCell ref="D15:I15"/>
    <mergeCell ref="B12:J13"/>
    <mergeCell ref="D16:I16"/>
    <mergeCell ref="B21:J22"/>
    <mergeCell ref="D23:I23"/>
    <mergeCell ref="B2:J3"/>
    <mergeCell ref="D4:I4"/>
    <mergeCell ref="D5:I5"/>
    <mergeCell ref="D6:I6"/>
    <mergeCell ref="D7:I7"/>
    <mergeCell ref="D8:I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D18" sqref="D18"/>
    </sheetView>
  </sheetViews>
  <sheetFormatPr defaultColWidth="9.140625" defaultRowHeight="12.75"/>
  <cols>
    <col min="1" max="1" width="6.140625" style="485" customWidth="1"/>
    <col min="2" max="2" width="33.421875" style="485" bestFit="1" customWidth="1"/>
    <col min="3" max="3" width="31.8515625" style="485" customWidth="1"/>
    <col min="4" max="4" width="25.140625" style="486" customWidth="1"/>
    <col min="5" max="5" width="12.140625" style="485" hidden="1" customWidth="1"/>
    <col min="6" max="6" width="28.00390625" style="485" customWidth="1"/>
    <col min="7" max="7" width="9.140625" style="485" customWidth="1"/>
    <col min="8" max="8" width="16.8515625" style="485" customWidth="1"/>
    <col min="9" max="16384" width="9.140625" style="485" customWidth="1"/>
  </cols>
  <sheetData>
    <row r="1" spans="1:5" s="448" customFormat="1" ht="23.25">
      <c r="A1" s="447" t="s">
        <v>1334</v>
      </c>
      <c r="B1" s="447"/>
      <c r="C1" s="447"/>
      <c r="D1" s="447"/>
      <c r="E1" s="447"/>
    </row>
    <row r="2" spans="1:5" s="449" customFormat="1" ht="20.25" customHeight="1">
      <c r="A2" s="723" t="str">
        <f>GXD!A2</f>
        <v>CÔNG TRÌNH: XÂY DỰNG ĐIỂM DU LỊCH VĂN HÓA LẦU ÔNG HOÀNG</v>
      </c>
      <c r="B2" s="723"/>
      <c r="C2" s="723"/>
      <c r="D2" s="723"/>
      <c r="E2" s="723"/>
    </row>
    <row r="3" spans="1:5" s="452" customFormat="1" ht="18" customHeight="1">
      <c r="A3" s="450" t="s">
        <v>1</v>
      </c>
      <c r="B3" s="450" t="s">
        <v>267</v>
      </c>
      <c r="C3" s="450" t="s">
        <v>265</v>
      </c>
      <c r="D3" s="451" t="s">
        <v>1251</v>
      </c>
      <c r="E3" s="450" t="s">
        <v>264</v>
      </c>
    </row>
    <row r="4" spans="1:6" s="458" customFormat="1" ht="18" customHeight="1">
      <c r="A4" s="453" t="s">
        <v>9</v>
      </c>
      <c r="B4" s="454" t="s">
        <v>357</v>
      </c>
      <c r="C4" s="455" t="s">
        <v>1252</v>
      </c>
      <c r="D4" s="456">
        <f>SUM(D5:E8)</f>
        <v>16297220000</v>
      </c>
      <c r="E4" s="457"/>
      <c r="F4" s="456">
        <v>16353009000</v>
      </c>
    </row>
    <row r="5" spans="1:6" s="449" customFormat="1" ht="18.75">
      <c r="A5" s="459">
        <v>1</v>
      </c>
      <c r="B5" s="460" t="s">
        <v>1253</v>
      </c>
      <c r="C5" s="461" t="s">
        <v>1332</v>
      </c>
      <c r="D5" s="462">
        <f>206*11.7*680000</f>
        <v>1638935999.9999998</v>
      </c>
      <c r="E5" s="461"/>
      <c r="F5" s="463" t="s">
        <v>1254</v>
      </c>
    </row>
    <row r="6" spans="1:6" s="449" customFormat="1" ht="18.75">
      <c r="A6" s="445">
        <v>2</v>
      </c>
      <c r="B6" s="464" t="s">
        <v>1309</v>
      </c>
      <c r="C6" s="465" t="s">
        <v>1326</v>
      </c>
      <c r="D6" s="466">
        <f>1814.14*5600000</f>
        <v>10159184000</v>
      </c>
      <c r="E6" s="465"/>
      <c r="F6" s="467">
        <v>11354000000</v>
      </c>
    </row>
    <row r="7" spans="1:9" s="449" customFormat="1" ht="18.75">
      <c r="A7" s="445">
        <v>3</v>
      </c>
      <c r="B7" s="464" t="s">
        <v>1308</v>
      </c>
      <c r="C7" s="465" t="s">
        <v>1325</v>
      </c>
      <c r="D7" s="466">
        <f>839.82*5000000</f>
        <v>4199100000.0000005</v>
      </c>
      <c r="E7" s="465"/>
      <c r="F7" s="467"/>
      <c r="H7" s="449">
        <f>555.57*2+703</f>
        <v>1814.14</v>
      </c>
      <c r="I7" s="449">
        <f>H7+H8</f>
        <v>2653.96</v>
      </c>
    </row>
    <row r="8" spans="1:8" s="449" customFormat="1" ht="18" customHeight="1">
      <c r="A8" s="445">
        <v>4</v>
      </c>
      <c r="B8" s="495" t="s">
        <v>1277</v>
      </c>
      <c r="C8" s="493" t="s">
        <v>329</v>
      </c>
      <c r="D8" s="494">
        <v>300000000</v>
      </c>
      <c r="E8" s="465"/>
      <c r="F8" s="467"/>
      <c r="H8" s="449">
        <f>302.04*2+235.74</f>
        <v>839.82</v>
      </c>
    </row>
    <row r="9" spans="1:8" s="449" customFormat="1" ht="18" customHeight="1">
      <c r="A9" s="469" t="s">
        <v>15</v>
      </c>
      <c r="B9" s="470" t="s">
        <v>1256</v>
      </c>
      <c r="C9" s="469" t="s">
        <v>1257</v>
      </c>
      <c r="D9" s="471">
        <f>D4</f>
        <v>16297220000</v>
      </c>
      <c r="E9" s="465" t="s">
        <v>1262</v>
      </c>
      <c r="F9" s="472" t="s">
        <v>1258</v>
      </c>
      <c r="H9" s="449">
        <f>17*5</f>
        <v>85</v>
      </c>
    </row>
    <row r="10" spans="1:8" s="449" customFormat="1" ht="18" customHeight="1">
      <c r="A10" s="465"/>
      <c r="B10" s="473" t="s">
        <v>1259</v>
      </c>
      <c r="C10" s="465" t="s">
        <v>1260</v>
      </c>
      <c r="D10" s="474">
        <f>D9*10%</f>
        <v>1629722000</v>
      </c>
      <c r="E10" s="465" t="s">
        <v>1263</v>
      </c>
      <c r="F10" s="475"/>
      <c r="H10" s="449">
        <f>4</f>
        <v>4</v>
      </c>
    </row>
    <row r="11" spans="1:8" s="449" customFormat="1" ht="18" customHeight="1">
      <c r="A11" s="476" t="s">
        <v>18</v>
      </c>
      <c r="B11" s="477" t="s">
        <v>285</v>
      </c>
      <c r="C11" s="476" t="s">
        <v>95</v>
      </c>
      <c r="D11" s="478">
        <f>SUM(D9:D10)</f>
        <v>17926942000</v>
      </c>
      <c r="E11" s="465" t="s">
        <v>1264</v>
      </c>
      <c r="F11" s="479"/>
      <c r="H11" s="449">
        <v>3</v>
      </c>
    </row>
    <row r="12" spans="1:8" s="449" customFormat="1" ht="18" customHeight="1">
      <c r="A12" s="480" t="s">
        <v>35</v>
      </c>
      <c r="B12" s="481" t="s">
        <v>1261</v>
      </c>
      <c r="C12" s="482" t="s">
        <v>1265</v>
      </c>
      <c r="D12" s="483">
        <f>SUM(D11)</f>
        <v>17926942000</v>
      </c>
      <c r="E12" s="465" t="s">
        <v>1266</v>
      </c>
      <c r="F12" s="479"/>
      <c r="H12" s="449">
        <f>11*8</f>
        <v>88</v>
      </c>
    </row>
    <row r="13" spans="1:8" s="449" customFormat="1" ht="18" customHeight="1">
      <c r="A13" s="484"/>
      <c r="B13" s="485"/>
      <c r="C13" s="484"/>
      <c r="D13" s="486"/>
      <c r="E13" s="465" t="s">
        <v>1267</v>
      </c>
      <c r="F13" s="479"/>
      <c r="H13" s="449">
        <f>H9+H10+H11+H12</f>
        <v>180</v>
      </c>
    </row>
    <row r="14" spans="1:8" s="449" customFormat="1" ht="18" customHeight="1">
      <c r="A14" s="484"/>
      <c r="B14" s="485"/>
      <c r="C14" s="484"/>
      <c r="D14" s="486"/>
      <c r="E14" s="465" t="s">
        <v>1268</v>
      </c>
      <c r="F14" s="479"/>
      <c r="H14" s="449">
        <f>55000000/1.1</f>
        <v>49999999.99999999</v>
      </c>
    </row>
    <row r="15" spans="1:6" s="449" customFormat="1" ht="18" customHeight="1">
      <c r="A15" s="484"/>
      <c r="B15" s="485"/>
      <c r="C15" s="485"/>
      <c r="D15" s="486"/>
      <c r="E15" s="465" t="s">
        <v>1269</v>
      </c>
      <c r="F15" s="479"/>
    </row>
    <row r="16" spans="1:6" s="449" customFormat="1" ht="18" customHeight="1">
      <c r="A16" s="484"/>
      <c r="B16" s="485"/>
      <c r="C16" s="485"/>
      <c r="D16" s="486">
        <f>200*11.7*700000</f>
        <v>1638000000</v>
      </c>
      <c r="E16" s="465" t="s">
        <v>1270</v>
      </c>
      <c r="F16" s="479"/>
    </row>
    <row r="17" spans="1:6" s="488" customFormat="1" ht="18" customHeight="1">
      <c r="A17" s="484"/>
      <c r="B17" s="485"/>
      <c r="C17" s="485"/>
      <c r="D17" s="486"/>
      <c r="E17" s="465" t="s">
        <v>1271</v>
      </c>
      <c r="F17" s="487"/>
    </row>
    <row r="18" spans="1:5" s="488" customFormat="1" ht="18" customHeight="1">
      <c r="A18" s="484"/>
      <c r="B18" s="485"/>
      <c r="C18" s="485"/>
      <c r="D18" s="486"/>
      <c r="E18" s="465" t="s">
        <v>1272</v>
      </c>
    </row>
    <row r="19" spans="1:6" s="449" customFormat="1" ht="18" customHeight="1">
      <c r="A19" s="485"/>
      <c r="B19" s="485"/>
      <c r="C19" s="485"/>
      <c r="D19" s="486"/>
      <c r="E19" s="489"/>
      <c r="F19" s="479"/>
    </row>
    <row r="20" spans="1:6" s="449" customFormat="1" ht="18" customHeight="1">
      <c r="A20" s="485"/>
      <c r="B20" s="485"/>
      <c r="C20" s="485"/>
      <c r="D20" s="486"/>
      <c r="E20" s="465" t="s">
        <v>1273</v>
      </c>
      <c r="F20" s="479"/>
    </row>
    <row r="21" spans="1:6" s="449" customFormat="1" ht="18" customHeight="1">
      <c r="A21" s="485"/>
      <c r="B21" s="485"/>
      <c r="C21" s="485"/>
      <c r="D21" s="486"/>
      <c r="E21" s="465" t="s">
        <v>1274</v>
      </c>
      <c r="F21" s="479"/>
    </row>
    <row r="22" spans="1:6" s="449" customFormat="1" ht="18" customHeight="1">
      <c r="A22" s="485"/>
      <c r="B22" s="485"/>
      <c r="C22" s="485"/>
      <c r="D22" s="486"/>
      <c r="E22" s="469" t="s">
        <v>93</v>
      </c>
      <c r="F22" s="479"/>
    </row>
    <row r="23" spans="1:6" s="449" customFormat="1" ht="18" customHeight="1">
      <c r="A23" s="485"/>
      <c r="B23" s="485"/>
      <c r="C23" s="485"/>
      <c r="D23" s="486"/>
      <c r="E23" s="465" t="s">
        <v>84</v>
      </c>
      <c r="F23" s="479"/>
    </row>
    <row r="24" spans="1:6" s="449" customFormat="1" ht="18" customHeight="1">
      <c r="A24" s="485"/>
      <c r="B24" s="485"/>
      <c r="C24" s="485"/>
      <c r="D24" s="486"/>
      <c r="E24" s="490" t="s">
        <v>1275</v>
      </c>
      <c r="F24" s="479"/>
    </row>
    <row r="25" spans="1:5" s="449" customFormat="1" ht="25.5" customHeight="1">
      <c r="A25" s="485"/>
      <c r="B25" s="485"/>
      <c r="C25" s="485"/>
      <c r="D25" s="486"/>
      <c r="E25" s="480" t="s">
        <v>1276</v>
      </c>
    </row>
    <row r="26" ht="18" customHeight="1">
      <c r="E26" s="484"/>
    </row>
    <row r="27" ht="18" customHeight="1"/>
    <row r="28" ht="18" customHeight="1">
      <c r="F28" s="491"/>
    </row>
  </sheetData>
  <sheetProtection/>
  <mergeCells count="1">
    <mergeCell ref="A2:E2"/>
  </mergeCells>
  <dataValidations count="1">
    <dataValidation allowBlank="1" showInputMessage="1" showErrorMessage="1" promptTitle="Lưu ý" prompt="Bạn không được xóa và sửa thông thin trong cột này" sqref="B9:B20"/>
  </dataValidations>
  <printOptions horizontalCentered="1"/>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4:L87"/>
  <sheetViews>
    <sheetView zoomScalePageLayoutView="0" workbookViewId="0" topLeftCell="A1">
      <selection activeCell="L30" sqref="L30"/>
    </sheetView>
  </sheetViews>
  <sheetFormatPr defaultColWidth="9.140625" defaultRowHeight="12.75"/>
  <cols>
    <col min="2" max="2" width="26.421875" style="0" customWidth="1"/>
    <col min="8" max="8" width="10.8515625" style="0" customWidth="1"/>
    <col min="10" max="10" width="15.8515625" style="0" customWidth="1"/>
    <col min="11" max="11" width="13.8515625" style="0" bestFit="1" customWidth="1"/>
    <col min="12" max="12" width="21.421875" style="0" customWidth="1"/>
  </cols>
  <sheetData>
    <row r="4" spans="2:9" ht="12.75">
      <c r="B4" s="508" t="s">
        <v>313</v>
      </c>
      <c r="C4" s="509">
        <v>5</v>
      </c>
      <c r="D4" s="509">
        <v>10</v>
      </c>
      <c r="E4" s="509">
        <v>50</v>
      </c>
      <c r="F4" s="509">
        <v>100</v>
      </c>
      <c r="G4" s="509">
        <v>500</v>
      </c>
      <c r="H4" s="509">
        <v>1000</v>
      </c>
      <c r="I4" s="509">
        <v>10000</v>
      </c>
    </row>
    <row r="5" spans="2:9" ht="12.75">
      <c r="B5" s="508" t="s">
        <v>314</v>
      </c>
      <c r="C5" s="509">
        <v>0.57</v>
      </c>
      <c r="D5" s="509">
        <v>0.39</v>
      </c>
      <c r="E5" s="509">
        <v>0.285</v>
      </c>
      <c r="F5" s="509">
        <v>0.225</v>
      </c>
      <c r="G5" s="509">
        <v>0.135</v>
      </c>
      <c r="H5" s="509">
        <v>0.09</v>
      </c>
      <c r="I5" s="509">
        <v>0.048</v>
      </c>
    </row>
    <row r="6" spans="2:9" ht="12.75">
      <c r="B6" s="508" t="s">
        <v>315</v>
      </c>
      <c r="C6" s="509">
        <v>0.96</v>
      </c>
      <c r="D6" s="509">
        <v>0.645</v>
      </c>
      <c r="E6" s="509">
        <v>0.45</v>
      </c>
      <c r="F6" s="509">
        <v>0.345</v>
      </c>
      <c r="G6" s="509">
        <v>0.195</v>
      </c>
      <c r="H6" s="509">
        <v>0.129</v>
      </c>
      <c r="I6" s="509">
        <v>0.069</v>
      </c>
    </row>
    <row r="7" spans="10:12" ht="12.75">
      <c r="J7" s="118" t="s">
        <v>316</v>
      </c>
      <c r="K7" s="118" t="s">
        <v>317</v>
      </c>
      <c r="L7" s="510">
        <f>D5</f>
        <v>0.39</v>
      </c>
    </row>
    <row r="8" spans="10:12" ht="12.75">
      <c r="J8" s="118" t="s">
        <v>318</v>
      </c>
      <c r="K8" s="118" t="s">
        <v>319</v>
      </c>
      <c r="L8" s="510">
        <f>C5</f>
        <v>0.57</v>
      </c>
    </row>
    <row r="9" spans="10:12" ht="12.75">
      <c r="J9" s="118" t="s">
        <v>320</v>
      </c>
      <c r="K9" s="118" t="s">
        <v>321</v>
      </c>
      <c r="L9" s="511">
        <f>'TM IN'!J47</f>
        <v>12771941318.327463</v>
      </c>
    </row>
    <row r="10" spans="10:12" ht="12.75">
      <c r="J10" s="512" t="s">
        <v>322</v>
      </c>
      <c r="K10" s="118" t="s">
        <v>323</v>
      </c>
      <c r="L10" s="511">
        <v>50000000000</v>
      </c>
    </row>
    <row r="11" spans="10:12" ht="12.75">
      <c r="J11" s="512" t="s">
        <v>324</v>
      </c>
      <c r="K11" s="118" t="s">
        <v>325</v>
      </c>
      <c r="L11" s="511">
        <v>10000000000</v>
      </c>
    </row>
    <row r="12" spans="8:9" ht="12.75">
      <c r="H12" s="118" t="s">
        <v>1287</v>
      </c>
      <c r="I12" s="513">
        <f>L8-(L8-L7)*(L9-L11)/(L10-L11)</f>
        <v>0.5575262640675264</v>
      </c>
    </row>
    <row r="16" spans="10:12" ht="12.75">
      <c r="J16" s="118" t="s">
        <v>316</v>
      </c>
      <c r="K16" s="118" t="s">
        <v>317</v>
      </c>
      <c r="L16" s="510">
        <f>E6</f>
        <v>0.45</v>
      </c>
    </row>
    <row r="17" spans="10:12" ht="12.75">
      <c r="J17" s="118" t="s">
        <v>318</v>
      </c>
      <c r="K17" s="118" t="s">
        <v>319</v>
      </c>
      <c r="L17" s="510">
        <f>D6</f>
        <v>0.645</v>
      </c>
    </row>
    <row r="18" spans="10:12" ht="12.75">
      <c r="J18" s="118" t="s">
        <v>320</v>
      </c>
      <c r="K18" s="118" t="s">
        <v>321</v>
      </c>
      <c r="L18" s="511">
        <f>L9</f>
        <v>12771941318.327463</v>
      </c>
    </row>
    <row r="19" spans="10:12" ht="12.75">
      <c r="J19" s="512" t="s">
        <v>322</v>
      </c>
      <c r="K19" s="118" t="s">
        <v>323</v>
      </c>
      <c r="L19" s="511">
        <f>L10</f>
        <v>50000000000</v>
      </c>
    </row>
    <row r="20" spans="10:12" ht="12.75">
      <c r="J20" s="512" t="s">
        <v>324</v>
      </c>
      <c r="K20" s="118" t="s">
        <v>325</v>
      </c>
      <c r="L20" s="511">
        <f>L11</f>
        <v>10000000000</v>
      </c>
    </row>
    <row r="21" spans="8:9" ht="12.75">
      <c r="H21" s="118" t="s">
        <v>1288</v>
      </c>
      <c r="I21" s="513">
        <f>L17-(L17-L16)*(L18-L20)/(L19-L20)</f>
        <v>0.6314867860731537</v>
      </c>
    </row>
    <row r="25" ht="12.75">
      <c r="B25" s="514" t="s">
        <v>1289</v>
      </c>
    </row>
    <row r="26" spans="2:9" ht="12.75">
      <c r="B26" s="508" t="s">
        <v>313</v>
      </c>
      <c r="C26" s="509">
        <v>15</v>
      </c>
      <c r="D26" s="509">
        <v>100</v>
      </c>
      <c r="E26" s="509">
        <v>500</v>
      </c>
      <c r="F26" s="509"/>
      <c r="G26" s="509"/>
      <c r="H26" s="509"/>
      <c r="I26" s="509"/>
    </row>
    <row r="27" spans="2:9" ht="12.75">
      <c r="B27" s="508" t="s">
        <v>1290</v>
      </c>
      <c r="C27" s="509">
        <v>0.00967</v>
      </c>
      <c r="D27" s="509">
        <v>0.00523</v>
      </c>
      <c r="E27" s="509">
        <v>0.00291</v>
      </c>
      <c r="F27" s="509"/>
      <c r="G27" s="509"/>
      <c r="H27" s="509"/>
      <c r="I27" s="509"/>
    </row>
    <row r="28" spans="2:9" ht="12.75">
      <c r="B28" s="508" t="s">
        <v>315</v>
      </c>
      <c r="C28" s="509"/>
      <c r="D28" s="509"/>
      <c r="E28" s="509"/>
      <c r="F28" s="509"/>
      <c r="G28" s="509"/>
      <c r="H28" s="509"/>
      <c r="I28" s="509"/>
    </row>
    <row r="30" spans="10:12" ht="12.75">
      <c r="J30" s="118" t="s">
        <v>316</v>
      </c>
      <c r="K30" s="118" t="s">
        <v>317</v>
      </c>
      <c r="L30" s="515">
        <f>D27</f>
        <v>0.00523</v>
      </c>
    </row>
    <row r="31" spans="10:12" ht="12.75">
      <c r="J31" s="118" t="s">
        <v>318</v>
      </c>
      <c r="K31" s="118" t="s">
        <v>319</v>
      </c>
      <c r="L31" s="515">
        <f>C27</f>
        <v>0.00967</v>
      </c>
    </row>
    <row r="32" spans="10:12" ht="12.75">
      <c r="J32" s="118" t="s">
        <v>320</v>
      </c>
      <c r="K32" s="118" t="s">
        <v>321</v>
      </c>
      <c r="L32" s="511">
        <f>'TM IN'!J50</f>
        <v>10000287669.65834</v>
      </c>
    </row>
    <row r="33" spans="10:12" ht="12.75">
      <c r="J33" s="512" t="s">
        <v>322</v>
      </c>
      <c r="K33" s="118" t="s">
        <v>323</v>
      </c>
      <c r="L33" s="516">
        <v>100000000000</v>
      </c>
    </row>
    <row r="34" spans="10:12" ht="12.75">
      <c r="J34" s="512" t="s">
        <v>324</v>
      </c>
      <c r="K34" s="118" t="s">
        <v>325</v>
      </c>
      <c r="L34" s="516">
        <v>15000000000</v>
      </c>
    </row>
    <row r="35" spans="8:9" ht="12.75">
      <c r="H35" s="118" t="s">
        <v>1291</v>
      </c>
      <c r="I35" s="513">
        <f>L31-(L31-L30)*(L32-L34)/(L33-L34)</f>
        <v>0.009931161444079023</v>
      </c>
    </row>
    <row r="40" spans="1:12" ht="18.75">
      <c r="A40" s="729" t="s">
        <v>108</v>
      </c>
      <c r="B40" s="729"/>
      <c r="C40" s="729"/>
      <c r="D40" s="729"/>
      <c r="E40" s="729"/>
      <c r="F40" s="729"/>
      <c r="G40" s="729"/>
      <c r="H40" s="729"/>
      <c r="I40" s="729"/>
      <c r="J40" s="729"/>
      <c r="K40" s="729"/>
      <c r="L40" s="729"/>
    </row>
    <row r="41" spans="1:12" ht="19.5" thickBot="1">
      <c r="A41" s="730" t="s">
        <v>1292</v>
      </c>
      <c r="B41" s="730"/>
      <c r="C41" s="730"/>
      <c r="D41" s="730"/>
      <c r="E41" s="730"/>
      <c r="F41" s="730"/>
      <c r="G41" s="730"/>
      <c r="H41" s="730"/>
      <c r="I41" s="730"/>
      <c r="J41" s="730"/>
      <c r="K41" s="730"/>
      <c r="L41" s="730"/>
    </row>
    <row r="42" spans="2:12" ht="37.5">
      <c r="B42" s="517" t="s">
        <v>110</v>
      </c>
      <c r="C42" s="731" t="s">
        <v>1293</v>
      </c>
      <c r="D42" s="726">
        <v>25</v>
      </c>
      <c r="E42" s="726">
        <v>50</v>
      </c>
      <c r="F42" s="726">
        <v>100</v>
      </c>
      <c r="G42" s="726">
        <v>200</v>
      </c>
      <c r="H42" s="726">
        <v>500</v>
      </c>
      <c r="I42" s="724">
        <v>1000</v>
      </c>
      <c r="J42" s="724">
        <v>2000</v>
      </c>
      <c r="K42" s="724">
        <v>5000</v>
      </c>
      <c r="L42" s="726" t="s">
        <v>113</v>
      </c>
    </row>
    <row r="43" spans="2:12" ht="19.5" thickBot="1">
      <c r="B43" s="518" t="s">
        <v>111</v>
      </c>
      <c r="C43" s="732"/>
      <c r="D43" s="727"/>
      <c r="E43" s="727"/>
      <c r="F43" s="727"/>
      <c r="G43" s="727"/>
      <c r="H43" s="727"/>
      <c r="I43" s="725"/>
      <c r="J43" s="725"/>
      <c r="K43" s="725"/>
      <c r="L43" s="727"/>
    </row>
    <row r="44" spans="2:12" ht="19.5" thickBot="1">
      <c r="B44" s="519" t="s">
        <v>114</v>
      </c>
      <c r="C44" s="520">
        <v>0.019</v>
      </c>
      <c r="D44" s="520">
        <v>0.017</v>
      </c>
      <c r="E44" s="520">
        <v>0.015</v>
      </c>
      <c r="F44" s="520">
        <v>0.0125</v>
      </c>
      <c r="G44" s="520">
        <v>0.01</v>
      </c>
      <c r="H44" s="520">
        <v>0.0075</v>
      </c>
      <c r="I44" s="520">
        <v>0.0047</v>
      </c>
      <c r="J44" s="520">
        <v>0.0025</v>
      </c>
      <c r="K44" s="520">
        <v>0.002</v>
      </c>
      <c r="L44" s="520">
        <v>0.001</v>
      </c>
    </row>
    <row r="45" ht="18.75">
      <c r="B45" s="521"/>
    </row>
    <row r="46" ht="18.75">
      <c r="B46" s="522"/>
    </row>
    <row r="47" spans="2:12" ht="18.75">
      <c r="B47" s="522"/>
      <c r="J47" s="118" t="s">
        <v>316</v>
      </c>
      <c r="K47" s="118" t="s">
        <v>317</v>
      </c>
      <c r="L47" s="515">
        <f>E44</f>
        <v>0.015</v>
      </c>
    </row>
    <row r="48" spans="10:12" ht="12.75">
      <c r="J48" s="118" t="s">
        <v>318</v>
      </c>
      <c r="K48" s="118" t="s">
        <v>319</v>
      </c>
      <c r="L48" s="515">
        <f>D44</f>
        <v>0.017</v>
      </c>
    </row>
    <row r="49" spans="10:12" ht="12.75">
      <c r="J49" s="118" t="s">
        <v>320</v>
      </c>
      <c r="K49" s="118" t="s">
        <v>321</v>
      </c>
      <c r="L49" s="516">
        <f>L32</f>
        <v>10000287669.65834</v>
      </c>
    </row>
    <row r="50" spans="10:12" ht="12.75">
      <c r="J50" s="512" t="s">
        <v>322</v>
      </c>
      <c r="K50" s="118" t="s">
        <v>323</v>
      </c>
      <c r="L50" s="516">
        <v>50000000000</v>
      </c>
    </row>
    <row r="51" spans="10:12" ht="12.75">
      <c r="J51" s="512" t="s">
        <v>324</v>
      </c>
      <c r="K51" s="118" t="s">
        <v>325</v>
      </c>
      <c r="L51" s="516">
        <v>25000000000</v>
      </c>
    </row>
    <row r="52" spans="8:9" ht="12.75">
      <c r="H52" s="118" t="s">
        <v>1294</v>
      </c>
      <c r="I52" s="513">
        <f>L48-(L48-L47)*(L49-L51)/(L50-L51)</f>
        <v>0.018199976986427335</v>
      </c>
    </row>
    <row r="53" ht="12.75">
      <c r="J53" s="513"/>
    </row>
    <row r="57" spans="2:9" ht="13.5" thickBot="1">
      <c r="B57" s="728" t="s">
        <v>1295</v>
      </c>
      <c r="C57" s="728"/>
      <c r="D57" s="728"/>
      <c r="E57" s="728"/>
      <c r="F57" s="728"/>
      <c r="G57" s="728"/>
      <c r="H57" s="728"/>
      <c r="I57" s="728"/>
    </row>
    <row r="58" spans="2:9" ht="36.75" thickBot="1">
      <c r="B58" s="523" t="s">
        <v>1296</v>
      </c>
      <c r="C58" s="524" t="s">
        <v>1297</v>
      </c>
      <c r="D58" s="524">
        <v>3</v>
      </c>
      <c r="E58" s="524">
        <v>5</v>
      </c>
      <c r="F58" s="524">
        <v>10</v>
      </c>
      <c r="G58" s="524">
        <v>20</v>
      </c>
      <c r="H58" s="524">
        <v>50</v>
      </c>
      <c r="I58" s="524">
        <v>100</v>
      </c>
    </row>
    <row r="59" spans="2:9" ht="13.5" thickBot="1">
      <c r="B59" s="525" t="s">
        <v>114</v>
      </c>
      <c r="C59" s="526">
        <v>0.816</v>
      </c>
      <c r="D59" s="526">
        <v>0.583</v>
      </c>
      <c r="E59" s="526">
        <v>0.505</v>
      </c>
      <c r="F59" s="526">
        <v>0.389</v>
      </c>
      <c r="G59" s="526">
        <v>0.311</v>
      </c>
      <c r="H59" s="526">
        <v>0.176</v>
      </c>
      <c r="I59" s="526">
        <v>0.114</v>
      </c>
    </row>
    <row r="61" spans="10:12" ht="12.75">
      <c r="J61" s="118" t="s">
        <v>316</v>
      </c>
      <c r="K61" s="118" t="s">
        <v>317</v>
      </c>
      <c r="L61" s="515">
        <f>E58</f>
        <v>5</v>
      </c>
    </row>
    <row r="62" spans="10:12" ht="12.75">
      <c r="J62" s="118" t="s">
        <v>318</v>
      </c>
      <c r="K62" s="118" t="s">
        <v>319</v>
      </c>
      <c r="L62" s="515">
        <f>D58</f>
        <v>3</v>
      </c>
    </row>
    <row r="63" spans="10:12" ht="12.75">
      <c r="J63" s="118" t="s">
        <v>320</v>
      </c>
      <c r="K63" s="118" t="s">
        <v>321</v>
      </c>
      <c r="L63" s="516">
        <f>L49</f>
        <v>10000287669.65834</v>
      </c>
    </row>
    <row r="64" spans="10:12" ht="12.75">
      <c r="J64" s="512" t="s">
        <v>322</v>
      </c>
      <c r="K64" s="118" t="s">
        <v>323</v>
      </c>
      <c r="L64" s="516">
        <v>50000000000</v>
      </c>
    </row>
    <row r="65" spans="10:12" ht="12.75">
      <c r="J65" s="512" t="s">
        <v>324</v>
      </c>
      <c r="K65" s="118" t="s">
        <v>325</v>
      </c>
      <c r="L65" s="516">
        <v>25000000000</v>
      </c>
    </row>
    <row r="66" ht="12.75">
      <c r="I66" s="513">
        <f>L62-(L62-L61)*(L63-L65)/(L64-L65)</f>
        <v>1.8000230135726671</v>
      </c>
    </row>
    <row r="69" ht="12.75">
      <c r="B69" s="118" t="s">
        <v>1298</v>
      </c>
    </row>
    <row r="70" spans="2:3" ht="12.75">
      <c r="B70" s="527">
        <v>15</v>
      </c>
      <c r="C70" s="527">
        <v>50</v>
      </c>
    </row>
    <row r="71" spans="2:3" ht="12.75">
      <c r="B71" s="528">
        <v>0.165</v>
      </c>
      <c r="C71" s="529">
        <v>0.11</v>
      </c>
    </row>
    <row r="73" ht="12.75">
      <c r="B73" s="118" t="s">
        <v>1299</v>
      </c>
    </row>
    <row r="74" spans="2:4" ht="12.75">
      <c r="B74" s="528">
        <v>0.16</v>
      </c>
      <c r="C74" s="530">
        <v>0.106</v>
      </c>
      <c r="D74" s="531"/>
    </row>
    <row r="75" spans="9:11" ht="12.75">
      <c r="I75" s="118" t="s">
        <v>316</v>
      </c>
      <c r="J75" s="118" t="s">
        <v>317</v>
      </c>
      <c r="K75" s="515">
        <f>C71</f>
        <v>0.11</v>
      </c>
    </row>
    <row r="76" spans="9:11" ht="12.75">
      <c r="I76" s="118" t="s">
        <v>318</v>
      </c>
      <c r="J76" s="118" t="s">
        <v>319</v>
      </c>
      <c r="K76" s="515">
        <f>B71</f>
        <v>0.165</v>
      </c>
    </row>
    <row r="77" spans="9:11" ht="12.75">
      <c r="I77" s="118" t="s">
        <v>320</v>
      </c>
      <c r="J77" s="118" t="s">
        <v>321</v>
      </c>
      <c r="K77" s="516">
        <f>L63</f>
        <v>10000287669.65834</v>
      </c>
    </row>
    <row r="78" spans="9:11" ht="12.75">
      <c r="I78" s="512" t="s">
        <v>322</v>
      </c>
      <c r="J78" s="118" t="s">
        <v>323</v>
      </c>
      <c r="K78" s="516">
        <v>50000000000</v>
      </c>
    </row>
    <row r="79" spans="9:11" ht="12.75">
      <c r="I79" s="512" t="s">
        <v>324</v>
      </c>
      <c r="J79" s="118" t="s">
        <v>325</v>
      </c>
      <c r="K79" s="516">
        <v>15000000000</v>
      </c>
    </row>
    <row r="80" spans="7:8" ht="12.75">
      <c r="G80" s="118" t="s">
        <v>1300</v>
      </c>
      <c r="H80" s="513">
        <f>K76-(K76-K75)*(K77-K79)/(K78-K79)</f>
        <v>0.1728566908048226</v>
      </c>
    </row>
    <row r="82" spans="9:11" ht="12.75">
      <c r="I82" s="118" t="s">
        <v>316</v>
      </c>
      <c r="J82" s="118" t="s">
        <v>317</v>
      </c>
      <c r="K82" s="515">
        <f>C74</f>
        <v>0.106</v>
      </c>
    </row>
    <row r="83" spans="9:11" ht="12.75">
      <c r="I83" s="118" t="s">
        <v>318</v>
      </c>
      <c r="J83" s="118" t="s">
        <v>319</v>
      </c>
      <c r="K83" s="515">
        <f>B74</f>
        <v>0.16</v>
      </c>
    </row>
    <row r="84" spans="9:11" ht="12.75">
      <c r="I84" s="118" t="s">
        <v>320</v>
      </c>
      <c r="J84" s="118" t="s">
        <v>321</v>
      </c>
      <c r="K84" s="516">
        <f>L63</f>
        <v>10000287669.65834</v>
      </c>
    </row>
    <row r="85" spans="9:11" ht="12.75">
      <c r="I85" s="512" t="s">
        <v>322</v>
      </c>
      <c r="J85" s="118" t="s">
        <v>323</v>
      </c>
      <c r="K85" s="516">
        <v>50000000000</v>
      </c>
    </row>
    <row r="86" spans="9:11" ht="12.75">
      <c r="I86" s="512" t="s">
        <v>324</v>
      </c>
      <c r="J86" s="118" t="s">
        <v>325</v>
      </c>
      <c r="K86" s="516">
        <v>15000000000</v>
      </c>
    </row>
    <row r="87" spans="7:8" ht="12.75">
      <c r="G87" s="118" t="s">
        <v>1301</v>
      </c>
      <c r="H87" s="513">
        <f>K83-(K83-K82)*(K84-K86)/(K85-K86)</f>
        <v>0.16771384188109856</v>
      </c>
    </row>
  </sheetData>
  <sheetProtection/>
  <mergeCells count="13">
    <mergeCell ref="H42:H43"/>
    <mergeCell ref="I42:I43"/>
    <mergeCell ref="J42:J43"/>
    <mergeCell ref="K42:K43"/>
    <mergeCell ref="L42:L43"/>
    <mergeCell ref="B57:I57"/>
    <mergeCell ref="A40:L40"/>
    <mergeCell ref="A41:L41"/>
    <mergeCell ref="C42:C43"/>
    <mergeCell ref="D42:D43"/>
    <mergeCell ref="E42:E43"/>
    <mergeCell ref="F42:F43"/>
    <mergeCell ref="G42:G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K20"/>
  <sheetViews>
    <sheetView zoomScalePageLayoutView="0" workbookViewId="0" topLeftCell="A1">
      <selection activeCell="A7" sqref="A7:B14"/>
    </sheetView>
  </sheetViews>
  <sheetFormatPr defaultColWidth="9.140625" defaultRowHeight="19.5" customHeight="1"/>
  <cols>
    <col min="1" max="1" width="7.421875" style="84" customWidth="1"/>
    <col min="2" max="2" width="40.8515625" style="84" customWidth="1"/>
    <col min="3" max="3" width="7.140625" style="84" hidden="1" customWidth="1"/>
    <col min="4" max="4" width="12.421875" style="84" customWidth="1"/>
    <col min="5" max="5" width="15.421875" style="84" bestFit="1" customWidth="1"/>
    <col min="6" max="6" width="17.421875" style="84" bestFit="1" customWidth="1"/>
    <col min="7" max="7" width="7.8515625" style="84" bestFit="1" customWidth="1"/>
    <col min="8" max="8" width="5.421875" style="84" bestFit="1" customWidth="1"/>
    <col min="9" max="9" width="13.57421875" style="84" bestFit="1" customWidth="1"/>
    <col min="10" max="10" width="16.57421875" style="84" customWidth="1"/>
    <col min="11" max="11" width="11.57421875" style="84" bestFit="1" customWidth="1"/>
    <col min="12" max="16384" width="9.140625" style="84" customWidth="1"/>
  </cols>
  <sheetData>
    <row r="1" spans="1:6" ht="19.5" customHeight="1">
      <c r="A1" s="82" t="s">
        <v>53</v>
      </c>
      <c r="B1" s="83"/>
      <c r="C1" s="83"/>
      <c r="D1" s="83"/>
      <c r="E1" s="83"/>
      <c r="F1" s="83"/>
    </row>
    <row r="2" spans="1:6" ht="19.5" customHeight="1">
      <c r="A2" s="85" t="s">
        <v>80</v>
      </c>
      <c r="B2" s="50"/>
      <c r="C2" s="50"/>
      <c r="D2" s="50"/>
      <c r="E2" s="50"/>
      <c r="F2" s="50"/>
    </row>
    <row r="3" spans="1:6" ht="36.75" customHeight="1" hidden="1">
      <c r="A3" s="634" t="s">
        <v>100</v>
      </c>
      <c r="B3" s="634"/>
      <c r="C3" s="634"/>
      <c r="D3" s="634"/>
      <c r="E3" s="634"/>
      <c r="F3" s="634"/>
    </row>
    <row r="4" spans="1:6" ht="19.5" customHeight="1">
      <c r="A4" s="85"/>
      <c r="B4" s="50"/>
      <c r="C4" s="50"/>
      <c r="D4" s="50"/>
      <c r="E4" s="50"/>
      <c r="F4" s="50"/>
    </row>
    <row r="5" spans="1:6" ht="19.5" customHeight="1">
      <c r="A5" s="86" t="s">
        <v>1</v>
      </c>
      <c r="B5" s="86" t="s">
        <v>54</v>
      </c>
      <c r="C5" s="86" t="s">
        <v>58</v>
      </c>
      <c r="D5" s="87" t="s">
        <v>55</v>
      </c>
      <c r="E5" s="87" t="s">
        <v>85</v>
      </c>
      <c r="F5" s="95" t="s">
        <v>81</v>
      </c>
    </row>
    <row r="6" spans="1:6" ht="19.5" customHeight="1">
      <c r="A6" s="105" t="s">
        <v>9</v>
      </c>
      <c r="B6" s="105" t="s">
        <v>92</v>
      </c>
      <c r="C6" s="105"/>
      <c r="D6" s="106" t="s">
        <v>93</v>
      </c>
      <c r="E6" s="106" t="s">
        <v>94</v>
      </c>
      <c r="F6" s="107">
        <f>SUM(F8:F11)</f>
        <v>0</v>
      </c>
    </row>
    <row r="7" spans="1:8" ht="19.5" customHeight="1">
      <c r="A7" s="88">
        <v>1</v>
      </c>
      <c r="B7" s="101" t="s">
        <v>87</v>
      </c>
      <c r="C7" s="88" t="s">
        <v>59</v>
      </c>
      <c r="D7" s="88" t="s">
        <v>56</v>
      </c>
      <c r="E7" s="112">
        <f>'[3]Tong hop kinh phi'!$D$17</f>
        <v>860760270.9870832</v>
      </c>
      <c r="F7" s="98"/>
      <c r="H7" s="91"/>
    </row>
    <row r="8" spans="1:8" ht="19.5" customHeight="1">
      <c r="A8" s="88">
        <v>2</v>
      </c>
      <c r="B8" s="89" t="s">
        <v>88</v>
      </c>
      <c r="C8" s="88" t="s">
        <v>59</v>
      </c>
      <c r="D8" s="88" t="s">
        <v>65</v>
      </c>
      <c r="E8" s="112"/>
      <c r="F8" s="98"/>
      <c r="H8" s="91"/>
    </row>
    <row r="9" spans="1:8" ht="19.5" customHeight="1">
      <c r="A9" s="100">
        <v>3</v>
      </c>
      <c r="B9" s="101" t="s">
        <v>89</v>
      </c>
      <c r="C9" s="88" t="s">
        <v>59</v>
      </c>
      <c r="D9" s="88" t="s">
        <v>77</v>
      </c>
      <c r="E9" s="112"/>
      <c r="F9" s="98"/>
      <c r="H9" s="91"/>
    </row>
    <row r="10" spans="1:8" ht="19.5" customHeight="1">
      <c r="A10" s="100">
        <v>4</v>
      </c>
      <c r="B10" s="101" t="s">
        <v>86</v>
      </c>
      <c r="C10" s="88" t="s">
        <v>59</v>
      </c>
      <c r="D10" s="88" t="s">
        <v>78</v>
      </c>
      <c r="E10" s="112"/>
      <c r="F10" s="98"/>
      <c r="H10" s="91"/>
    </row>
    <row r="11" spans="1:11" ht="19.5" customHeight="1">
      <c r="A11" s="100">
        <v>5</v>
      </c>
      <c r="B11" s="101" t="s">
        <v>105</v>
      </c>
      <c r="C11" s="100"/>
      <c r="D11" s="88" t="s">
        <v>79</v>
      </c>
      <c r="E11" s="112"/>
      <c r="F11" s="98"/>
      <c r="H11" s="91"/>
      <c r="K11" s="102"/>
    </row>
    <row r="12" spans="1:11" ht="19.5" customHeight="1">
      <c r="A12" s="100">
        <v>6</v>
      </c>
      <c r="B12" s="101" t="s">
        <v>106</v>
      </c>
      <c r="C12" s="100"/>
      <c r="D12" s="88"/>
      <c r="E12" s="112"/>
      <c r="F12" s="98"/>
      <c r="H12" s="91"/>
      <c r="K12" s="102"/>
    </row>
    <row r="13" spans="1:11" ht="19.5" customHeight="1">
      <c r="A13" s="100">
        <v>7</v>
      </c>
      <c r="B13" s="101" t="s">
        <v>104</v>
      </c>
      <c r="C13" s="100"/>
      <c r="D13" s="88"/>
      <c r="E13" s="112"/>
      <c r="F13" s="98"/>
      <c r="H13" s="91"/>
      <c r="K13" s="102"/>
    </row>
    <row r="14" spans="1:11" ht="19.5" customHeight="1">
      <c r="A14" s="100">
        <v>8</v>
      </c>
      <c r="B14" s="101" t="s">
        <v>90</v>
      </c>
      <c r="C14" s="100"/>
      <c r="D14" s="88"/>
      <c r="E14" s="112"/>
      <c r="F14" s="98"/>
      <c r="H14" s="91"/>
      <c r="K14" s="102"/>
    </row>
    <row r="15" spans="1:8" ht="19.5" customHeight="1">
      <c r="A15" s="100"/>
      <c r="B15" s="101"/>
      <c r="C15" s="100"/>
      <c r="D15" s="103" t="s">
        <v>84</v>
      </c>
      <c r="E15" s="88" t="s">
        <v>91</v>
      </c>
      <c r="F15" s="98">
        <f>F6*10%</f>
        <v>0</v>
      </c>
      <c r="H15" s="91"/>
    </row>
    <row r="16" spans="1:8" ht="19.5" customHeight="1">
      <c r="A16" s="108" t="s">
        <v>12</v>
      </c>
      <c r="B16" s="109" t="s">
        <v>82</v>
      </c>
      <c r="C16" s="108"/>
      <c r="D16" s="110" t="s">
        <v>99</v>
      </c>
      <c r="E16" s="108" t="s">
        <v>95</v>
      </c>
      <c r="F16" s="111">
        <f>F15+F6</f>
        <v>0</v>
      </c>
      <c r="H16" s="91"/>
    </row>
    <row r="17" spans="1:8" ht="19.5" customHeight="1">
      <c r="A17" s="100"/>
      <c r="B17" s="101" t="s">
        <v>83</v>
      </c>
      <c r="C17" s="100"/>
      <c r="D17" s="104" t="s">
        <v>98</v>
      </c>
      <c r="E17" s="100" t="s">
        <v>96</v>
      </c>
      <c r="F17" s="98">
        <f>1%*F16</f>
        <v>0</v>
      </c>
      <c r="H17" s="91"/>
    </row>
    <row r="18" spans="1:8" ht="19.5" customHeight="1">
      <c r="A18" s="92" t="s">
        <v>15</v>
      </c>
      <c r="B18" s="92" t="s">
        <v>49</v>
      </c>
      <c r="C18" s="92"/>
      <c r="D18" s="92" t="s">
        <v>57</v>
      </c>
      <c r="E18" s="92" t="s">
        <v>97</v>
      </c>
      <c r="F18" s="93">
        <f>F17+F16</f>
        <v>0</v>
      </c>
      <c r="H18" s="91"/>
    </row>
    <row r="19" ht="19.5" customHeight="1">
      <c r="F19" s="90"/>
    </row>
    <row r="20" spans="1:6" ht="19.5" customHeight="1">
      <c r="A20" s="94"/>
      <c r="B20" s="94"/>
      <c r="C20" s="94"/>
      <c r="D20" s="94"/>
      <c r="E20" s="94"/>
      <c r="F20" s="94"/>
    </row>
  </sheetData>
  <sheetProtection/>
  <mergeCells count="1">
    <mergeCell ref="A3:F3"/>
  </mergeCells>
  <printOptions/>
  <pageMargins left="0.75" right="0.75" top="1" bottom="1" header="0.5" footer="0.5"/>
  <pageSetup horizontalDpi="200" verticalDpi="2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4:L17"/>
  <sheetViews>
    <sheetView showGridLines="0" zoomScalePageLayoutView="0" workbookViewId="0" topLeftCell="A1">
      <selection activeCell="E12" sqref="E12"/>
    </sheetView>
  </sheetViews>
  <sheetFormatPr defaultColWidth="9.140625" defaultRowHeight="12.75"/>
  <cols>
    <col min="1" max="1" width="15.421875" style="0" customWidth="1"/>
    <col min="2" max="2" width="28.57421875" style="0" customWidth="1"/>
    <col min="9" max="9" width="14.8515625" style="0" customWidth="1"/>
  </cols>
  <sheetData>
    <row r="4" ht="15.75">
      <c r="B4" s="113" t="s">
        <v>108</v>
      </c>
    </row>
    <row r="5" ht="15.75">
      <c r="B5" s="114" t="s">
        <v>109</v>
      </c>
    </row>
    <row r="6" spans="2:12" ht="15.75">
      <c r="B6" s="120" t="s">
        <v>110</v>
      </c>
      <c r="C6" s="635" t="s">
        <v>112</v>
      </c>
      <c r="D6" s="636">
        <v>25</v>
      </c>
      <c r="E6" s="636">
        <v>50</v>
      </c>
      <c r="F6" s="636">
        <v>100</v>
      </c>
      <c r="G6" s="636">
        <v>200</v>
      </c>
      <c r="H6" s="636">
        <v>500</v>
      </c>
      <c r="I6" s="637">
        <v>1000</v>
      </c>
      <c r="J6" s="637">
        <v>2000</v>
      </c>
      <c r="K6" s="637">
        <v>5000</v>
      </c>
      <c r="L6" s="636" t="s">
        <v>113</v>
      </c>
    </row>
    <row r="7" spans="2:12" ht="15.75">
      <c r="B7" s="120" t="s">
        <v>111</v>
      </c>
      <c r="C7" s="635"/>
      <c r="D7" s="636"/>
      <c r="E7" s="636"/>
      <c r="F7" s="636"/>
      <c r="G7" s="636"/>
      <c r="H7" s="636"/>
      <c r="I7" s="637"/>
      <c r="J7" s="637"/>
      <c r="K7" s="637"/>
      <c r="L7" s="636"/>
    </row>
    <row r="8" spans="2:12" ht="15.75">
      <c r="B8" s="120" t="s">
        <v>114</v>
      </c>
      <c r="C8" s="115">
        <v>0.019</v>
      </c>
      <c r="D8" s="115">
        <v>0.017</v>
      </c>
      <c r="E8" s="115">
        <v>0.015</v>
      </c>
      <c r="F8" s="115">
        <v>0.0125</v>
      </c>
      <c r="G8" s="115">
        <v>0.01</v>
      </c>
      <c r="H8" s="115">
        <v>0.0075</v>
      </c>
      <c r="I8" s="115">
        <v>0.0047</v>
      </c>
      <c r="J8" s="115">
        <v>0.0025</v>
      </c>
      <c r="K8" s="115">
        <v>0.002</v>
      </c>
      <c r="L8" s="115">
        <v>0.001</v>
      </c>
    </row>
    <row r="9" ht="12.75">
      <c r="B9" s="121"/>
    </row>
    <row r="10" ht="16.5">
      <c r="B10" s="122" t="s">
        <v>134</v>
      </c>
    </row>
    <row r="11" spans="2:9" ht="16.5">
      <c r="B11" s="123" t="s">
        <v>115</v>
      </c>
      <c r="C11" s="116" t="s">
        <v>116</v>
      </c>
      <c r="D11" s="116">
        <v>10</v>
      </c>
      <c r="E11" s="116">
        <v>50</v>
      </c>
      <c r="F11" s="116">
        <v>100</v>
      </c>
      <c r="G11" s="116">
        <v>500</v>
      </c>
      <c r="H11" s="117">
        <v>1000</v>
      </c>
      <c r="I11" s="116" t="s">
        <v>117</v>
      </c>
    </row>
    <row r="12" spans="2:9" ht="16.5">
      <c r="B12" s="123" t="s">
        <v>118</v>
      </c>
      <c r="C12" s="116" t="s">
        <v>119</v>
      </c>
      <c r="D12" s="116" t="s">
        <v>120</v>
      </c>
      <c r="E12" s="116" t="s">
        <v>121</v>
      </c>
      <c r="F12" s="116" t="s">
        <v>122</v>
      </c>
      <c r="G12" s="116" t="s">
        <v>123</v>
      </c>
      <c r="H12" s="116" t="s">
        <v>124</v>
      </c>
      <c r="I12" s="116" t="s">
        <v>125</v>
      </c>
    </row>
    <row r="13" spans="2:9" ht="16.5">
      <c r="B13" s="124" t="s">
        <v>126</v>
      </c>
      <c r="C13" s="116" t="s">
        <v>127</v>
      </c>
      <c r="D13" s="116" t="s">
        <v>128</v>
      </c>
      <c r="E13" s="116" t="s">
        <v>129</v>
      </c>
      <c r="F13" s="116" t="s">
        <v>130</v>
      </c>
      <c r="G13" s="116" t="s">
        <v>131</v>
      </c>
      <c r="H13" s="116" t="s">
        <v>132</v>
      </c>
      <c r="I13" s="116" t="s">
        <v>133</v>
      </c>
    </row>
    <row r="17" spans="1:3" ht="12.75">
      <c r="A17" s="118" t="s">
        <v>135</v>
      </c>
      <c r="B17" s="119" t="e">
        <f>ROUND(#REF!/1000000000,3)</f>
        <v>#REF!</v>
      </c>
      <c r="C17" s="118" t="s">
        <v>136</v>
      </c>
    </row>
  </sheetData>
  <sheetProtection/>
  <mergeCells count="10">
    <mergeCell ref="C6:C7"/>
    <mergeCell ref="D6:D7"/>
    <mergeCell ref="E6:E7"/>
    <mergeCell ref="F6:F7"/>
    <mergeCell ref="K6:K7"/>
    <mergeCell ref="L6:L7"/>
    <mergeCell ref="G6:G7"/>
    <mergeCell ref="H6:H7"/>
    <mergeCell ref="I6:I7"/>
    <mergeCell ref="J6:J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96"/>
  <sheetViews>
    <sheetView showGridLines="0" zoomScale="115" zoomScaleNormal="115" zoomScalePageLayoutView="0" workbookViewId="0" topLeftCell="A40">
      <selection activeCell="G52" sqref="G52"/>
    </sheetView>
  </sheetViews>
  <sheetFormatPr defaultColWidth="9.140625" defaultRowHeight="12.75"/>
  <cols>
    <col min="3" max="3" width="11.421875" style="0" bestFit="1" customWidth="1"/>
    <col min="4" max="4" width="40.57421875" style="0" bestFit="1" customWidth="1"/>
    <col min="6" max="6" width="21.8515625" style="0" customWidth="1"/>
    <col min="7" max="7" width="17.57421875" style="128" customWidth="1"/>
  </cols>
  <sheetData>
    <row r="1" spans="1:6" ht="12.75">
      <c r="A1">
        <v>0.451</v>
      </c>
      <c r="B1" s="125">
        <f>SUM(A1:A44)</f>
        <v>143.59896</v>
      </c>
      <c r="C1" s="126">
        <f>B1*1000</f>
        <v>143598.96</v>
      </c>
      <c r="D1" s="127">
        <f>C1*1.03*17000</f>
        <v>2514417789.6</v>
      </c>
      <c r="F1">
        <v>7826111.094159786</v>
      </c>
    </row>
    <row r="2" spans="6:7" ht="12.75">
      <c r="F2">
        <v>37567212.298933044</v>
      </c>
      <c r="G2" s="125">
        <f>22.18/6</f>
        <v>3.6966666666666668</v>
      </c>
    </row>
    <row r="3" spans="1:7" ht="12.75">
      <c r="A3">
        <v>2.1794000000000002</v>
      </c>
      <c r="F3">
        <v>50843692.91771214</v>
      </c>
      <c r="G3" s="128">
        <f>31.8*G2</f>
        <v>117.554</v>
      </c>
    </row>
    <row r="4" spans="6:7" ht="12.75">
      <c r="F4">
        <v>28827577.728634637</v>
      </c>
      <c r="G4" s="128">
        <f>345.6*G2</f>
        <v>1277.5680000000002</v>
      </c>
    </row>
    <row r="5" spans="1:6" ht="12.75">
      <c r="A5">
        <v>2.93</v>
      </c>
      <c r="F5">
        <v>206943903.1597861</v>
      </c>
    </row>
    <row r="6" ht="12.75">
      <c r="F6">
        <v>229541747.19929045</v>
      </c>
    </row>
    <row r="7" spans="1:6" ht="12.75">
      <c r="A7">
        <v>1.67121</v>
      </c>
      <c r="F7">
        <v>168621193.26587778</v>
      </c>
    </row>
    <row r="8" ht="12.75">
      <c r="F8">
        <v>414353426.70187485</v>
      </c>
    </row>
    <row r="9" spans="1:6" ht="12.75">
      <c r="A9">
        <v>11.932220000000001</v>
      </c>
      <c r="F9">
        <v>94478860.75865063</v>
      </c>
    </row>
    <row r="10" ht="12.75">
      <c r="F10">
        <v>4076453.8478157893</v>
      </c>
    </row>
    <row r="11" spans="1:7" ht="12.75">
      <c r="A11">
        <v>13.22794</v>
      </c>
      <c r="F11">
        <v>123378.38110748575</v>
      </c>
      <c r="G11" s="139">
        <f>8*12*3.6</f>
        <v>345.6</v>
      </c>
    </row>
    <row r="12" ht="12.75">
      <c r="F12">
        <v>575333.0913707288</v>
      </c>
    </row>
    <row r="13" ht="12.75">
      <c r="F13" s="128">
        <f>SUM(F1:F12)</f>
        <v>1243778890.4452133</v>
      </c>
    </row>
    <row r="15" ht="13.5" thickBot="1"/>
    <row r="16" spans="4:8" ht="16.5" thickBot="1">
      <c r="D16" s="129" t="s">
        <v>137</v>
      </c>
      <c r="E16" s="130" t="s">
        <v>138</v>
      </c>
      <c r="F16" s="131">
        <v>1448182</v>
      </c>
      <c r="G16" s="128">
        <f>ROUND(F16/17/1.15,0)</f>
        <v>74076</v>
      </c>
      <c r="H16">
        <v>0.22</v>
      </c>
    </row>
    <row r="17" spans="4:8" ht="16.5" thickBot="1">
      <c r="D17" s="132" t="s">
        <v>139</v>
      </c>
      <c r="E17" s="133" t="s">
        <v>140</v>
      </c>
      <c r="F17" s="134">
        <v>1800909</v>
      </c>
      <c r="G17" s="128">
        <f>ROUND(F17/17/1.15,0)</f>
        <v>92118</v>
      </c>
      <c r="H17">
        <v>0.31</v>
      </c>
    </row>
    <row r="18" spans="4:8" ht="16.5" thickBot="1">
      <c r="D18" s="132" t="s">
        <v>141</v>
      </c>
      <c r="E18" s="133" t="s">
        <v>140</v>
      </c>
      <c r="F18" s="134">
        <v>1270000</v>
      </c>
      <c r="G18" s="128">
        <f>ROUND(F18/17/1.15,0)</f>
        <v>64962</v>
      </c>
      <c r="H18">
        <v>0.07</v>
      </c>
    </row>
    <row r="19" spans="1:8" ht="16.5" thickBot="1">
      <c r="A19">
        <v>9.779990000000002</v>
      </c>
      <c r="D19" s="132" t="s">
        <v>142</v>
      </c>
      <c r="E19" s="133" t="s">
        <v>140</v>
      </c>
      <c r="F19" s="134">
        <v>781818</v>
      </c>
      <c r="G19" s="128">
        <f>ROUND(F19/17/1.15,0)</f>
        <v>39991</v>
      </c>
      <c r="H19">
        <v>0.42</v>
      </c>
    </row>
    <row r="20" spans="4:8" ht="16.5" thickBot="1">
      <c r="D20" s="132" t="s">
        <v>143</v>
      </c>
      <c r="E20" s="133" t="s">
        <v>140</v>
      </c>
      <c r="F20" s="134">
        <v>1301818</v>
      </c>
      <c r="G20" s="128">
        <f>ROUND(F20/17/1.15,0)</f>
        <v>66589</v>
      </c>
      <c r="H20">
        <f>SUM(H16:H19)/4</f>
        <v>0.255</v>
      </c>
    </row>
    <row r="21" spans="4:6" ht="16.5" thickBot="1">
      <c r="D21" s="132" t="s">
        <v>144</v>
      </c>
      <c r="E21" s="133" t="s">
        <v>145</v>
      </c>
      <c r="F21" s="134">
        <v>20000</v>
      </c>
    </row>
    <row r="22" spans="4:7" ht="16.5" thickBot="1">
      <c r="D22" s="132" t="s">
        <v>146</v>
      </c>
      <c r="E22" s="133" t="s">
        <v>140</v>
      </c>
      <c r="F22" s="134">
        <v>240909</v>
      </c>
      <c r="G22" s="137">
        <f>1-0.233</f>
        <v>0.767</v>
      </c>
    </row>
    <row r="24" ht="12.75">
      <c r="G24" s="137">
        <f>0.7/3</f>
        <v>0.2333333333333333</v>
      </c>
    </row>
    <row r="25" spans="6:9" ht="15.75">
      <c r="F25" s="140">
        <v>2672</v>
      </c>
      <c r="G25" s="128">
        <f>F25/8</f>
        <v>334</v>
      </c>
      <c r="H25">
        <v>15944</v>
      </c>
      <c r="I25" s="141">
        <f>H25/48</f>
        <v>332.1666666666667</v>
      </c>
    </row>
    <row r="27" spans="1:7" ht="12.75">
      <c r="A27">
        <v>23.906130000000005</v>
      </c>
      <c r="C27" s="135" t="s">
        <v>147</v>
      </c>
      <c r="D27" s="135" t="s">
        <v>148</v>
      </c>
      <c r="E27" s="135" t="s">
        <v>149</v>
      </c>
      <c r="F27" s="135">
        <v>1.8200952000000001</v>
      </c>
      <c r="G27" s="136">
        <v>1200</v>
      </c>
    </row>
    <row r="28" spans="3:7" ht="12.75">
      <c r="C28" s="135" t="s">
        <v>150</v>
      </c>
      <c r="D28" s="135" t="s">
        <v>151</v>
      </c>
      <c r="E28" s="135" t="s">
        <v>149</v>
      </c>
      <c r="F28" s="135">
        <v>8</v>
      </c>
      <c r="G28" s="136">
        <v>1700</v>
      </c>
    </row>
    <row r="29" spans="3:7" ht="12.75">
      <c r="C29" s="135" t="s">
        <v>152</v>
      </c>
      <c r="D29" s="135" t="s">
        <v>153</v>
      </c>
      <c r="E29" s="135" t="s">
        <v>154</v>
      </c>
      <c r="F29" s="135">
        <v>123221.2435569056</v>
      </c>
      <c r="G29" s="136">
        <v>1720.5659090909091</v>
      </c>
    </row>
    <row r="30" spans="3:7" ht="12.75">
      <c r="C30" s="135" t="s">
        <v>155</v>
      </c>
      <c r="D30" s="135" t="s">
        <v>156</v>
      </c>
      <c r="E30" s="135" t="s">
        <v>154</v>
      </c>
      <c r="F30" s="135">
        <v>13.329921200000001</v>
      </c>
      <c r="G30" s="136">
        <v>21407.325</v>
      </c>
    </row>
    <row r="31" spans="3:7" ht="12.75">
      <c r="C31" s="135" t="s">
        <v>157</v>
      </c>
      <c r="D31" s="135" t="s">
        <v>158</v>
      </c>
      <c r="E31" s="135" t="s">
        <v>154</v>
      </c>
      <c r="F31" s="135">
        <v>1477.7118000000003</v>
      </c>
      <c r="G31" s="136">
        <v>16810.325</v>
      </c>
    </row>
    <row r="32" spans="3:7" ht="12.75">
      <c r="C32" s="135" t="s">
        <v>159</v>
      </c>
      <c r="D32" s="135" t="s">
        <v>160</v>
      </c>
      <c r="E32" s="135" t="s">
        <v>154</v>
      </c>
      <c r="F32" s="135">
        <v>42.82786200000001</v>
      </c>
      <c r="G32" s="136">
        <v>21407.325</v>
      </c>
    </row>
    <row r="33" spans="3:7" ht="12.75">
      <c r="C33" s="135" t="s">
        <v>161</v>
      </c>
      <c r="D33" s="135" t="s">
        <v>162</v>
      </c>
      <c r="E33" s="135" t="s">
        <v>154</v>
      </c>
      <c r="F33" s="135">
        <v>809.4821999999999</v>
      </c>
      <c r="G33" s="136">
        <v>16293.325</v>
      </c>
    </row>
    <row r="34" spans="1:7" ht="12.75">
      <c r="A34">
        <v>5.444590000000001</v>
      </c>
      <c r="C34" s="135" t="s">
        <v>163</v>
      </c>
      <c r="D34" s="135" t="s">
        <v>164</v>
      </c>
      <c r="E34" s="135" t="s">
        <v>154</v>
      </c>
      <c r="F34" s="135">
        <v>50.51154209999999</v>
      </c>
      <c r="G34" s="136">
        <v>67300</v>
      </c>
    </row>
    <row r="35" spans="3:7" ht="12.75">
      <c r="C35" s="135" t="s">
        <v>165</v>
      </c>
      <c r="D35" s="135" t="s">
        <v>166</v>
      </c>
      <c r="E35" s="135" t="s">
        <v>154</v>
      </c>
      <c r="F35" s="135">
        <v>4.575</v>
      </c>
      <c r="G35" s="136">
        <v>3047.565909090909</v>
      </c>
    </row>
    <row r="36" spans="3:7" ht="12.75">
      <c r="C36" s="135" t="s">
        <v>167</v>
      </c>
      <c r="D36" s="135" t="s">
        <v>168</v>
      </c>
      <c r="E36" s="135" t="s">
        <v>154</v>
      </c>
      <c r="F36" s="135">
        <v>1542.0376999999999</v>
      </c>
      <c r="G36" s="136">
        <v>18043.325</v>
      </c>
    </row>
    <row r="37" spans="3:7" ht="12.75">
      <c r="C37" s="135" t="s">
        <v>169</v>
      </c>
      <c r="D37" s="135" t="s">
        <v>170</v>
      </c>
      <c r="E37" s="135" t="s">
        <v>154</v>
      </c>
      <c r="F37" s="135">
        <v>11.75733</v>
      </c>
      <c r="G37" s="136">
        <v>55047.56590909091</v>
      </c>
    </row>
    <row r="38" spans="3:7" ht="12.75">
      <c r="C38" s="135" t="s">
        <v>171</v>
      </c>
      <c r="D38" s="135" t="s">
        <v>172</v>
      </c>
      <c r="E38" s="135" t="s">
        <v>154</v>
      </c>
      <c r="F38" s="135">
        <v>6.166066399999999</v>
      </c>
      <c r="G38" s="136">
        <v>22245.989304812832</v>
      </c>
    </row>
    <row r="39" spans="1:7" ht="12.75">
      <c r="A39">
        <v>0.23651</v>
      </c>
      <c r="C39" s="135" t="s">
        <v>173</v>
      </c>
      <c r="D39" s="135" t="s">
        <v>174</v>
      </c>
      <c r="E39" s="135" t="s">
        <v>154</v>
      </c>
      <c r="F39" s="135">
        <v>1.7468000000000001</v>
      </c>
      <c r="G39" s="136">
        <v>15000</v>
      </c>
    </row>
    <row r="40" spans="3:7" ht="12.75">
      <c r="C40" s="135" t="s">
        <v>175</v>
      </c>
      <c r="D40" s="135" t="s">
        <v>176</v>
      </c>
      <c r="E40" s="135" t="s">
        <v>154</v>
      </c>
      <c r="F40" s="135">
        <v>0.46375999999999995</v>
      </c>
      <c r="G40" s="136">
        <v>54100</v>
      </c>
    </row>
    <row r="41" spans="1:7" ht="12.75">
      <c r="A41">
        <v>0.00711</v>
      </c>
      <c r="C41" s="135" t="s">
        <v>177</v>
      </c>
      <c r="D41" s="135" t="s">
        <v>178</v>
      </c>
      <c r="E41" s="135" t="s">
        <v>179</v>
      </c>
      <c r="F41" s="135">
        <v>91782.0155403</v>
      </c>
      <c r="G41" s="136">
        <v>8</v>
      </c>
    </row>
    <row r="42" spans="3:7" ht="12.75">
      <c r="C42" s="135" t="s">
        <v>180</v>
      </c>
      <c r="D42" s="135" t="s">
        <v>181</v>
      </c>
      <c r="E42" s="135" t="s">
        <v>182</v>
      </c>
      <c r="F42" s="135">
        <v>559.6041</v>
      </c>
      <c r="G42" s="136">
        <v>35000</v>
      </c>
    </row>
    <row r="43" spans="1:7" ht="12.75">
      <c r="A43">
        <v>0.03338000000000001</v>
      </c>
      <c r="C43" s="135" t="s">
        <v>183</v>
      </c>
      <c r="D43" s="135" t="s">
        <v>184</v>
      </c>
      <c r="E43" s="135" t="s">
        <v>59</v>
      </c>
      <c r="F43" s="135">
        <v>30.652499999999996</v>
      </c>
      <c r="G43" s="136">
        <v>71026.3</v>
      </c>
    </row>
    <row r="44" spans="1:7" ht="12.75">
      <c r="A44">
        <f>SUM(A1:A43)</f>
        <v>71.79948</v>
      </c>
      <c r="C44" s="135" t="s">
        <v>185</v>
      </c>
      <c r="D44" s="135" t="s">
        <v>186</v>
      </c>
      <c r="E44" s="135" t="s">
        <v>187</v>
      </c>
      <c r="F44" s="135">
        <v>243.2534309596</v>
      </c>
      <c r="G44" s="136">
        <v>215358.57954545453</v>
      </c>
    </row>
    <row r="45" spans="3:7" ht="12.75">
      <c r="C45" s="135" t="s">
        <v>188</v>
      </c>
      <c r="D45" s="135" t="s">
        <v>189</v>
      </c>
      <c r="E45" s="135" t="s">
        <v>187</v>
      </c>
      <c r="F45" s="135">
        <v>210.7158300875</v>
      </c>
      <c r="G45" s="136">
        <v>216153.75</v>
      </c>
    </row>
    <row r="46" spans="3:7" ht="12.75">
      <c r="C46" s="135" t="s">
        <v>190</v>
      </c>
      <c r="D46" s="135" t="s">
        <v>191</v>
      </c>
      <c r="E46" s="135" t="s">
        <v>187</v>
      </c>
      <c r="F46" s="135">
        <v>198.085450266</v>
      </c>
      <c r="G46" s="136">
        <v>283927.2727272727</v>
      </c>
    </row>
    <row r="47" spans="3:7" ht="12.75">
      <c r="C47" s="135" t="s">
        <v>192</v>
      </c>
      <c r="D47" s="135" t="s">
        <v>193</v>
      </c>
      <c r="E47" s="135" t="s">
        <v>187</v>
      </c>
      <c r="F47" s="135">
        <v>0.7107408000000002</v>
      </c>
      <c r="G47" s="136">
        <v>4036327.5</v>
      </c>
    </row>
    <row r="48" spans="3:7" ht="12.75">
      <c r="C48" s="135" t="s">
        <v>194</v>
      </c>
      <c r="D48" s="135" t="s">
        <v>195</v>
      </c>
      <c r="E48" s="135" t="s">
        <v>187</v>
      </c>
      <c r="F48" s="135">
        <v>0.16960860000000003</v>
      </c>
      <c r="G48" s="136">
        <v>4036327.5</v>
      </c>
    </row>
    <row r="49" spans="3:7" ht="12.75">
      <c r="C49" s="135" t="s">
        <v>196</v>
      </c>
      <c r="D49" s="135" t="s">
        <v>197</v>
      </c>
      <c r="E49" s="135" t="s">
        <v>187</v>
      </c>
      <c r="F49" s="135">
        <v>0.8588118000000001</v>
      </c>
      <c r="G49" s="136">
        <v>4036327.5</v>
      </c>
    </row>
    <row r="50" spans="3:7" ht="12.75">
      <c r="C50" s="135" t="s">
        <v>198</v>
      </c>
      <c r="D50" s="135" t="s">
        <v>199</v>
      </c>
      <c r="E50" s="135" t="s">
        <v>187</v>
      </c>
      <c r="F50" s="135">
        <v>0.10595712000000002</v>
      </c>
      <c r="G50" s="136">
        <v>4036327.5</v>
      </c>
    </row>
    <row r="51" spans="3:7" ht="12.75">
      <c r="C51" s="135" t="s">
        <v>200</v>
      </c>
      <c r="D51" s="135" t="s">
        <v>201</v>
      </c>
      <c r="E51" s="135" t="s">
        <v>187</v>
      </c>
      <c r="F51" s="135">
        <v>39.657570406400005</v>
      </c>
      <c r="G51" s="136">
        <v>213651.61363636362</v>
      </c>
    </row>
    <row r="52" spans="3:7" ht="12.75">
      <c r="C52" s="135" t="s">
        <v>202</v>
      </c>
      <c r="D52" s="135" t="s">
        <v>203</v>
      </c>
      <c r="E52" s="135" t="s">
        <v>187</v>
      </c>
      <c r="F52" s="135">
        <v>0.045276000000000004</v>
      </c>
      <c r="G52" s="136">
        <v>4036327.5</v>
      </c>
    </row>
    <row r="53" spans="3:7" ht="12.75">
      <c r="C53" s="135" t="s">
        <v>204</v>
      </c>
      <c r="D53" s="135" t="s">
        <v>205</v>
      </c>
      <c r="E53" s="135" t="s">
        <v>187</v>
      </c>
      <c r="F53" s="135">
        <v>1160.9397999999999</v>
      </c>
      <c r="G53" s="136">
        <v>99262.27272727272</v>
      </c>
    </row>
    <row r="54" spans="3:7" ht="12.75">
      <c r="C54" s="135" t="s">
        <v>206</v>
      </c>
      <c r="D54" s="135" t="s">
        <v>207</v>
      </c>
      <c r="E54" s="135" t="s">
        <v>187</v>
      </c>
      <c r="F54" s="135">
        <v>1387.994</v>
      </c>
      <c r="G54" s="136">
        <v>22000</v>
      </c>
    </row>
    <row r="55" spans="3:7" ht="12.75">
      <c r="C55" s="135" t="s">
        <v>208</v>
      </c>
      <c r="D55" s="135" t="s">
        <v>209</v>
      </c>
      <c r="E55" s="135" t="s">
        <v>187</v>
      </c>
      <c r="F55" s="135">
        <v>9.9100295</v>
      </c>
      <c r="G55" s="136">
        <v>69262.27272727272</v>
      </c>
    </row>
    <row r="56" spans="3:7" ht="12.75">
      <c r="C56" s="135" t="s">
        <v>210</v>
      </c>
      <c r="D56" s="135" t="s">
        <v>211</v>
      </c>
      <c r="E56" s="135" t="s">
        <v>212</v>
      </c>
      <c r="F56" s="135">
        <v>4442.256</v>
      </c>
      <c r="G56" s="136">
        <v>6046.65</v>
      </c>
    </row>
    <row r="57" spans="3:7" ht="12.75">
      <c r="C57" s="135" t="s">
        <v>213</v>
      </c>
      <c r="D57" s="135" t="s">
        <v>214</v>
      </c>
      <c r="E57" s="135" t="s">
        <v>212</v>
      </c>
      <c r="F57" s="135">
        <v>71918.19808</v>
      </c>
      <c r="G57" s="136">
        <v>1161.2045454545455</v>
      </c>
    </row>
    <row r="58" spans="3:7" ht="12.75">
      <c r="C58" s="135" t="s">
        <v>215</v>
      </c>
      <c r="D58" s="135" t="s">
        <v>216</v>
      </c>
      <c r="E58" s="135" t="s">
        <v>212</v>
      </c>
      <c r="F58" s="135">
        <v>7.145283599999999</v>
      </c>
      <c r="G58" s="136">
        <v>12000</v>
      </c>
    </row>
    <row r="59" spans="3:7" ht="12.75">
      <c r="C59" s="135" t="s">
        <v>217</v>
      </c>
      <c r="D59" s="135" t="s">
        <v>218</v>
      </c>
      <c r="E59" s="135" t="s">
        <v>212</v>
      </c>
      <c r="F59" s="135">
        <v>5.358962699999999</v>
      </c>
      <c r="G59" s="136">
        <v>15000</v>
      </c>
    </row>
    <row r="60" spans="3:7" ht="12.75">
      <c r="C60" s="135"/>
      <c r="D60" s="135" t="s">
        <v>219</v>
      </c>
      <c r="E60" s="135"/>
      <c r="F60" s="135"/>
      <c r="G60" s="136"/>
    </row>
    <row r="61" spans="3:7" ht="12.75">
      <c r="C61" s="135" t="s">
        <v>220</v>
      </c>
      <c r="D61" s="135" t="s">
        <v>221</v>
      </c>
      <c r="E61" s="135" t="s">
        <v>149</v>
      </c>
      <c r="F61" s="135">
        <v>2</v>
      </c>
      <c r="G61" s="136">
        <v>32300</v>
      </c>
    </row>
    <row r="62" spans="3:7" ht="12.75">
      <c r="C62" s="135" t="s">
        <v>222</v>
      </c>
      <c r="D62" s="135" t="s">
        <v>223</v>
      </c>
      <c r="E62" s="135" t="s">
        <v>149</v>
      </c>
      <c r="F62" s="135">
        <v>3</v>
      </c>
      <c r="G62" s="136">
        <v>66900</v>
      </c>
    </row>
    <row r="63" spans="3:7" ht="12.75">
      <c r="C63" s="135" t="s">
        <v>224</v>
      </c>
      <c r="D63" s="135" t="s">
        <v>225</v>
      </c>
      <c r="E63" s="135" t="s">
        <v>149</v>
      </c>
      <c r="F63" s="135">
        <v>1</v>
      </c>
      <c r="G63" s="136">
        <v>232500</v>
      </c>
    </row>
    <row r="64" spans="3:7" ht="12.75">
      <c r="C64" s="135" t="s">
        <v>226</v>
      </c>
      <c r="D64" s="135" t="s">
        <v>227</v>
      </c>
      <c r="E64" s="135" t="s">
        <v>149</v>
      </c>
      <c r="F64" s="135">
        <v>1</v>
      </c>
      <c r="G64" s="136">
        <v>1000000</v>
      </c>
    </row>
    <row r="65" spans="3:7" ht="12.75">
      <c r="C65" s="135" t="s">
        <v>228</v>
      </c>
      <c r="D65" s="135" t="s">
        <v>229</v>
      </c>
      <c r="E65" s="135" t="s">
        <v>182</v>
      </c>
      <c r="F65" s="135">
        <v>408</v>
      </c>
      <c r="G65" s="136">
        <v>14030</v>
      </c>
    </row>
    <row r="66" spans="3:7" ht="12.75">
      <c r="C66" s="135" t="s">
        <v>230</v>
      </c>
      <c r="D66" s="135" t="s">
        <v>231</v>
      </c>
      <c r="E66" s="135" t="s">
        <v>182</v>
      </c>
      <c r="F66" s="135">
        <v>51</v>
      </c>
      <c r="G66" s="136">
        <v>23500</v>
      </c>
    </row>
    <row r="67" spans="3:7" ht="12.75">
      <c r="C67" s="135" t="s">
        <v>232</v>
      </c>
      <c r="D67" s="135" t="s">
        <v>233</v>
      </c>
      <c r="E67" s="135" t="s">
        <v>182</v>
      </c>
      <c r="F67" s="135">
        <v>183.6</v>
      </c>
      <c r="G67" s="136">
        <v>3590</v>
      </c>
    </row>
    <row r="68" spans="3:7" ht="12.75">
      <c r="C68" s="135" t="s">
        <v>234</v>
      </c>
      <c r="D68" s="135" t="s">
        <v>235</v>
      </c>
      <c r="E68" s="135" t="s">
        <v>236</v>
      </c>
      <c r="F68" s="135">
        <v>3</v>
      </c>
      <c r="G68" s="136">
        <v>5000</v>
      </c>
    </row>
    <row r="69" spans="3:7" ht="12.75">
      <c r="C69" s="135" t="s">
        <v>237</v>
      </c>
      <c r="D69" s="135" t="s">
        <v>238</v>
      </c>
      <c r="E69" s="135" t="s">
        <v>239</v>
      </c>
      <c r="F69" s="135">
        <v>1</v>
      </c>
      <c r="G69" s="136">
        <v>245000</v>
      </c>
    </row>
    <row r="70" spans="3:7" ht="12.75">
      <c r="C70" s="135" t="s">
        <v>240</v>
      </c>
      <c r="D70" s="135" t="s">
        <v>241</v>
      </c>
      <c r="E70" s="135" t="s">
        <v>182</v>
      </c>
      <c r="F70" s="135">
        <v>1.8</v>
      </c>
      <c r="G70" s="136">
        <v>253000</v>
      </c>
    </row>
    <row r="71" spans="3:7" ht="12.75">
      <c r="C71" s="135" t="s">
        <v>242</v>
      </c>
      <c r="D71" s="135" t="s">
        <v>243</v>
      </c>
      <c r="E71" s="135" t="s">
        <v>149</v>
      </c>
      <c r="F71" s="135">
        <v>2</v>
      </c>
      <c r="G71" s="136">
        <v>60000</v>
      </c>
    </row>
    <row r="72" spans="3:7" ht="12.75">
      <c r="C72" s="135"/>
      <c r="D72" s="135" t="s">
        <v>244</v>
      </c>
      <c r="E72" s="135"/>
      <c r="F72" s="135"/>
      <c r="G72" s="136"/>
    </row>
    <row r="73" spans="3:7" ht="12.75">
      <c r="C73" s="135" t="s">
        <v>245</v>
      </c>
      <c r="D73" s="135" t="s">
        <v>246</v>
      </c>
      <c r="E73" s="135" t="s">
        <v>182</v>
      </c>
      <c r="F73" s="135">
        <v>96.96</v>
      </c>
      <c r="G73" s="136">
        <v>12300</v>
      </c>
    </row>
    <row r="74" spans="3:7" ht="12.75">
      <c r="C74" s="135" t="s">
        <v>247</v>
      </c>
      <c r="D74" s="135" t="s">
        <v>248</v>
      </c>
      <c r="E74" s="135" t="s">
        <v>149</v>
      </c>
      <c r="F74" s="135">
        <v>1</v>
      </c>
      <c r="G74" s="136">
        <v>650000</v>
      </c>
    </row>
    <row r="75" spans="3:7" ht="12.75">
      <c r="C75" s="135" t="s">
        <v>249</v>
      </c>
      <c r="D75" s="135" t="s">
        <v>250</v>
      </c>
      <c r="E75" s="135" t="s">
        <v>149</v>
      </c>
      <c r="F75" s="135">
        <v>5</v>
      </c>
      <c r="G75" s="136">
        <v>4290</v>
      </c>
    </row>
    <row r="76" spans="3:7" ht="12.75">
      <c r="C76" s="135" t="s">
        <v>251</v>
      </c>
      <c r="D76" s="135" t="s">
        <v>252</v>
      </c>
      <c r="E76" s="135" t="s">
        <v>149</v>
      </c>
      <c r="F76" s="135">
        <v>4</v>
      </c>
      <c r="G76" s="136">
        <v>4800</v>
      </c>
    </row>
    <row r="77" spans="3:7" ht="12.75">
      <c r="C77" s="135" t="s">
        <v>253</v>
      </c>
      <c r="D77" s="135" t="s">
        <v>254</v>
      </c>
      <c r="E77" s="135" t="s">
        <v>149</v>
      </c>
      <c r="F77" s="135">
        <v>4</v>
      </c>
      <c r="G77" s="136">
        <v>7400</v>
      </c>
    </row>
    <row r="78" spans="3:7" ht="12.75">
      <c r="C78" s="135"/>
      <c r="D78" s="135" t="s">
        <v>255</v>
      </c>
      <c r="E78" s="135"/>
      <c r="F78" s="135"/>
      <c r="G78" s="136"/>
    </row>
    <row r="79" spans="3:9" ht="12.75">
      <c r="C79" s="135" t="s">
        <v>256</v>
      </c>
      <c r="D79" s="135" t="s">
        <v>257</v>
      </c>
      <c r="E79" s="135" t="s">
        <v>182</v>
      </c>
      <c r="F79" s="135">
        <v>123.22</v>
      </c>
      <c r="G79" s="136">
        <v>31200</v>
      </c>
      <c r="I79">
        <f>33.4*2+88.5</f>
        <v>155.3</v>
      </c>
    </row>
    <row r="80" spans="3:9" ht="12.75">
      <c r="C80" s="135" t="s">
        <v>258</v>
      </c>
      <c r="D80" s="135" t="s">
        <v>259</v>
      </c>
      <c r="E80" s="135" t="s">
        <v>149</v>
      </c>
      <c r="F80" s="135">
        <v>18</v>
      </c>
      <c r="G80" s="136">
        <v>120000</v>
      </c>
      <c r="I80">
        <f>33.8*3</f>
        <v>101.39999999999999</v>
      </c>
    </row>
    <row r="81" spans="3:7" ht="12.75">
      <c r="C81" s="135" t="s">
        <v>260</v>
      </c>
      <c r="D81" s="135" t="s">
        <v>261</v>
      </c>
      <c r="E81" s="135" t="s">
        <v>149</v>
      </c>
      <c r="F81" s="135">
        <v>31</v>
      </c>
      <c r="G81" s="136">
        <v>18200</v>
      </c>
    </row>
    <row r="95" ht="12.75">
      <c r="D95" s="118" t="s">
        <v>262</v>
      </c>
    </row>
    <row r="96" ht="16.5">
      <c r="D96" s="138">
        <v>12317670000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6"/>
  <dimension ref="A1:R67"/>
  <sheetViews>
    <sheetView showGridLines="0" tabSelected="1" zoomScale="85" zoomScaleNormal="85" zoomScaleSheetLayoutView="85" zoomScalePageLayoutView="0" workbookViewId="0" topLeftCell="A1">
      <selection activeCell="A3" sqref="A3:H3"/>
    </sheetView>
  </sheetViews>
  <sheetFormatPr defaultColWidth="9.140625" defaultRowHeight="0" customHeight="1" zeroHeight="1"/>
  <cols>
    <col min="1" max="1" width="5.00390625" style="191" customWidth="1"/>
    <col min="2" max="2" width="46.57421875" style="164" customWidth="1"/>
    <col min="3" max="3" width="27.140625" style="164" hidden="1" customWidth="1"/>
    <col min="4" max="4" width="10.421875" style="164" customWidth="1"/>
    <col min="5" max="5" width="39.57421875" style="191" customWidth="1"/>
    <col min="6" max="6" width="17.8515625" style="191" customWidth="1"/>
    <col min="7" max="7" width="18.421875" style="191" customWidth="1"/>
    <col min="8" max="8" width="19.8515625" style="197" customWidth="1"/>
    <col min="9" max="9" width="2.140625" style="197" customWidth="1"/>
    <col min="10" max="10" width="25.140625" style="162" hidden="1" customWidth="1"/>
    <col min="11" max="11" width="12.8515625" style="162" customWidth="1"/>
    <col min="12" max="12" width="31.421875" style="162" customWidth="1"/>
    <col min="13" max="13" width="58.00390625" style="162" customWidth="1"/>
    <col min="14" max="14" width="8.57421875" style="162" customWidth="1"/>
    <col min="15" max="15" width="15.57421875" style="164" customWidth="1"/>
    <col min="16" max="16" width="12.57421875" style="164" customWidth="1"/>
    <col min="17" max="17" width="14.140625" style="164" customWidth="1"/>
    <col min="18" max="18" width="15.57421875" style="164" customWidth="1"/>
    <col min="19" max="16384" width="9.140625" style="164" customWidth="1"/>
  </cols>
  <sheetData>
    <row r="1" spans="1:14" ht="33" customHeight="1">
      <c r="A1" s="638" t="s">
        <v>1339</v>
      </c>
      <c r="B1" s="638"/>
      <c r="C1" s="638"/>
      <c r="D1" s="638"/>
      <c r="E1" s="638"/>
      <c r="F1" s="638"/>
      <c r="G1" s="638"/>
      <c r="H1" s="638"/>
      <c r="I1" s="344"/>
      <c r="J1" s="161"/>
      <c r="K1" s="161"/>
      <c r="N1" s="163" t="s">
        <v>107</v>
      </c>
    </row>
    <row r="2" spans="1:14" ht="24" customHeight="1">
      <c r="A2" s="642" t="str">
        <f>GXD!A2</f>
        <v>CÔNG TRÌNH: XÂY DỰNG ĐIỂM DU LỊCH VĂN HÓA LẦU ÔNG HOÀNG</v>
      </c>
      <c r="B2" s="642"/>
      <c r="C2" s="642"/>
      <c r="D2" s="642"/>
      <c r="E2" s="642"/>
      <c r="F2" s="642"/>
      <c r="G2" s="642"/>
      <c r="H2" s="642"/>
      <c r="I2" s="346"/>
      <c r="J2" s="165"/>
      <c r="K2" s="165"/>
      <c r="N2" s="166">
        <v>2</v>
      </c>
    </row>
    <row r="3" spans="1:14" ht="24" customHeight="1">
      <c r="A3" s="644" t="s">
        <v>1406</v>
      </c>
      <c r="B3" s="644"/>
      <c r="C3" s="644"/>
      <c r="D3" s="644"/>
      <c r="E3" s="644"/>
      <c r="F3" s="644"/>
      <c r="G3" s="644"/>
      <c r="H3" s="644"/>
      <c r="I3" s="346"/>
      <c r="J3" s="165"/>
      <c r="K3" s="165"/>
      <c r="N3" s="627"/>
    </row>
    <row r="4" spans="1:15" ht="12.75" customHeight="1" thickBot="1">
      <c r="A4" s="168"/>
      <c r="B4" s="168"/>
      <c r="C4" s="168"/>
      <c r="D4" s="168"/>
      <c r="E4" s="168"/>
      <c r="F4" s="168"/>
      <c r="G4" s="639" t="s">
        <v>266</v>
      </c>
      <c r="H4" s="639"/>
      <c r="I4" s="345"/>
      <c r="J4" s="165"/>
      <c r="K4" s="165"/>
      <c r="N4" s="167"/>
      <c r="O4" s="169"/>
    </row>
    <row r="5" spans="1:14" s="149" customFormat="1" ht="35.25" customHeight="1" thickTop="1">
      <c r="A5" s="585" t="s">
        <v>1</v>
      </c>
      <c r="B5" s="586" t="s">
        <v>267</v>
      </c>
      <c r="C5" s="586" t="s">
        <v>430</v>
      </c>
      <c r="D5" s="586" t="s">
        <v>264</v>
      </c>
      <c r="E5" s="586" t="s">
        <v>265</v>
      </c>
      <c r="F5" s="586" t="s">
        <v>270</v>
      </c>
      <c r="G5" s="586" t="s">
        <v>268</v>
      </c>
      <c r="H5" s="587" t="s">
        <v>269</v>
      </c>
      <c r="I5" s="218"/>
      <c r="J5" s="159" t="s">
        <v>432</v>
      </c>
      <c r="K5" s="159"/>
      <c r="L5" s="170"/>
      <c r="M5" s="170"/>
      <c r="N5" s="171"/>
    </row>
    <row r="6" spans="1:18" s="149" customFormat="1" ht="24" customHeight="1">
      <c r="A6" s="200" t="s">
        <v>9</v>
      </c>
      <c r="B6" s="143" t="s">
        <v>271</v>
      </c>
      <c r="C6" s="143"/>
      <c r="D6" s="142" t="s">
        <v>291</v>
      </c>
      <c r="E6" s="569" t="s">
        <v>1337</v>
      </c>
      <c r="F6" s="398">
        <f>SUM(F7:F8)</f>
        <v>10156047590</v>
      </c>
      <c r="G6" s="144">
        <f>F6*10%</f>
        <v>1015604759</v>
      </c>
      <c r="H6" s="201">
        <f>ROUND(G6+F6,0)</f>
        <v>11171652349</v>
      </c>
      <c r="I6" s="347"/>
      <c r="J6" s="155"/>
      <c r="K6" s="155"/>
      <c r="L6" s="398">
        <v>1</v>
      </c>
      <c r="M6" s="399" t="s">
        <v>1180</v>
      </c>
      <c r="N6" s="146"/>
      <c r="O6" s="147"/>
      <c r="P6" s="147"/>
      <c r="Q6" s="148"/>
      <c r="R6" s="147"/>
    </row>
    <row r="7" spans="1:18" s="149" customFormat="1" ht="18" customHeight="1">
      <c r="A7" s="204"/>
      <c r="B7" s="568" t="s">
        <v>1404</v>
      </c>
      <c r="C7" s="565"/>
      <c r="D7" s="343" t="s">
        <v>1335</v>
      </c>
      <c r="E7" s="571"/>
      <c r="F7" s="579">
        <v>5833593044</v>
      </c>
      <c r="G7" s="580">
        <f>F7*10%</f>
        <v>583359304.4</v>
      </c>
      <c r="H7" s="581">
        <f>G7+F7</f>
        <v>6416952348.4</v>
      </c>
      <c r="I7" s="347"/>
      <c r="J7" s="588">
        <f>F7/1.1</f>
        <v>5303266403.636363</v>
      </c>
      <c r="K7" s="155"/>
      <c r="L7" s="564"/>
      <c r="M7" s="399"/>
      <c r="N7" s="146"/>
      <c r="O7" s="147"/>
      <c r="P7" s="147"/>
      <c r="Q7" s="148"/>
      <c r="R7" s="147"/>
    </row>
    <row r="8" spans="1:18" s="149" customFormat="1" ht="15">
      <c r="A8" s="207"/>
      <c r="B8" s="570" t="s">
        <v>1405</v>
      </c>
      <c r="C8" s="566"/>
      <c r="D8" s="153" t="s">
        <v>1336</v>
      </c>
      <c r="E8" s="567"/>
      <c r="F8" s="582">
        <v>4322454546</v>
      </c>
      <c r="G8" s="583">
        <f>F8*10%</f>
        <v>432245454.6</v>
      </c>
      <c r="H8" s="584">
        <f>G8+F8</f>
        <v>4754700000.6</v>
      </c>
      <c r="I8" s="347"/>
      <c r="J8" s="155">
        <v>197.64</v>
      </c>
      <c r="K8" s="155">
        <v>291.84</v>
      </c>
      <c r="L8" s="564"/>
      <c r="M8" s="399"/>
      <c r="N8" s="146"/>
      <c r="O8" s="147"/>
      <c r="P8" s="147"/>
      <c r="Q8" s="148"/>
      <c r="R8" s="147"/>
    </row>
    <row r="9" spans="1:17" s="228" customFormat="1" ht="28.5" customHeight="1" hidden="1">
      <c r="A9" s="572"/>
      <c r="B9" s="573"/>
      <c r="C9" s="573"/>
      <c r="D9" s="574"/>
      <c r="E9" s="575"/>
      <c r="F9" s="576"/>
      <c r="G9" s="577"/>
      <c r="H9" s="578"/>
      <c r="I9" s="349"/>
      <c r="J9" s="225"/>
      <c r="K9" s="225"/>
      <c r="L9" s="226"/>
      <c r="M9" s="373"/>
      <c r="N9" s="400"/>
      <c r="O9" s="227"/>
      <c r="P9" s="227"/>
      <c r="Q9" s="227"/>
    </row>
    <row r="10" spans="1:17" s="158" customFormat="1" ht="22.5" customHeight="1">
      <c r="A10" s="200" t="s">
        <v>15</v>
      </c>
      <c r="B10" s="173" t="s">
        <v>272</v>
      </c>
      <c r="C10" s="154" t="s">
        <v>434</v>
      </c>
      <c r="D10" s="142" t="s">
        <v>292</v>
      </c>
      <c r="E10" s="174" t="str">
        <f>"(Gxd +Gtb) x "&amp;J10&amp;"% "&amp;L10</f>
        <v>(Gxd +Gtb) x 3,274% </v>
      </c>
      <c r="F10" s="145">
        <f>(F6+F9)*K10%</f>
        <v>347588455.45454544</v>
      </c>
      <c r="G10" s="542">
        <f>F10*10%</f>
        <v>34758845.54545455</v>
      </c>
      <c r="H10" s="201">
        <f>ROUND(G10+F10,0)</f>
        <v>382347301</v>
      </c>
      <c r="I10" s="347"/>
      <c r="J10" s="155">
        <f>VLOOKUP(L6,'bảng nội suy QD79'!$A$13:$O$17,15,0)</f>
        <v>3.274</v>
      </c>
      <c r="K10" s="446">
        <f>382347301/1.1/(GXD+GTB)*100</f>
        <v>3.4224776161623462</v>
      </c>
      <c r="L10" s="159"/>
      <c r="M10" s="373" t="s">
        <v>465</v>
      </c>
      <c r="N10" s="159">
        <v>2</v>
      </c>
      <c r="O10" s="176"/>
      <c r="Q10" s="177"/>
    </row>
    <row r="11" spans="1:15" s="158" customFormat="1" ht="16.5">
      <c r="A11" s="200" t="s">
        <v>18</v>
      </c>
      <c r="B11" s="173" t="s">
        <v>273</v>
      </c>
      <c r="C11" s="173"/>
      <c r="D11" s="142" t="s">
        <v>293</v>
      </c>
      <c r="E11" s="142" t="s">
        <v>288</v>
      </c>
      <c r="F11" s="145">
        <f>SUM(F12:F37)</f>
        <v>959806816.3397362</v>
      </c>
      <c r="G11" s="145">
        <f>SUM(G12:G37)</f>
        <v>95980681.63397366</v>
      </c>
      <c r="H11" s="201">
        <f>SUM(H12:H37)</f>
        <v>1055787497.97371</v>
      </c>
      <c r="I11" s="347"/>
      <c r="J11" s="155"/>
      <c r="K11" s="155"/>
      <c r="L11" s="159"/>
      <c r="M11" s="373" t="s">
        <v>472</v>
      </c>
      <c r="N11" s="159">
        <v>3</v>
      </c>
      <c r="O11" s="177"/>
    </row>
    <row r="12" spans="1:15" s="158" customFormat="1" ht="15" hidden="1">
      <c r="A12" s="341"/>
      <c r="B12" s="342"/>
      <c r="C12" s="342"/>
      <c r="D12" s="343"/>
      <c r="E12" s="343"/>
      <c r="F12" s="433"/>
      <c r="G12" s="434"/>
      <c r="H12" s="435"/>
      <c r="I12" s="350"/>
      <c r="J12" s="155"/>
      <c r="K12" s="155"/>
      <c r="L12" s="159"/>
      <c r="M12" s="373"/>
      <c r="N12" s="159"/>
      <c r="O12" s="177"/>
    </row>
    <row r="13" spans="1:15" s="158" customFormat="1" ht="16.5">
      <c r="A13" s="202"/>
      <c r="B13" s="154" t="s">
        <v>309</v>
      </c>
      <c r="C13" s="154"/>
      <c r="D13" s="153" t="s">
        <v>294</v>
      </c>
      <c r="E13" s="153" t="s">
        <v>1224</v>
      </c>
      <c r="F13" s="229">
        <f>120000000/1.1</f>
        <v>109090909.09090908</v>
      </c>
      <c r="G13" s="230">
        <f>F13*10%</f>
        <v>10909090.909090908</v>
      </c>
      <c r="H13" s="231">
        <f aca="true" t="shared" si="0" ref="H13:H19">F13+G13</f>
        <v>119999999.99999999</v>
      </c>
      <c r="I13" s="350"/>
      <c r="J13" s="588">
        <f>H12+H13+H14+H19+H20+H21</f>
        <v>624259260.0002999</v>
      </c>
      <c r="K13" s="155"/>
      <c r="L13" s="159"/>
      <c r="M13" s="373" t="s">
        <v>486</v>
      </c>
      <c r="N13" s="159">
        <v>5</v>
      </c>
      <c r="O13" s="177"/>
    </row>
    <row r="14" spans="1:15" s="158" customFormat="1" ht="16.5">
      <c r="A14" s="202"/>
      <c r="B14" s="154" t="s">
        <v>1208</v>
      </c>
      <c r="C14" s="154"/>
      <c r="D14" s="153" t="s">
        <v>326</v>
      </c>
      <c r="E14" s="153" t="str">
        <f>"(T1+T2) x "&amp;J14&amp;"%"</f>
        <v>(T1+T2) x 4,072%</v>
      </c>
      <c r="F14" s="229">
        <f>(F12+F13)*J14%</f>
        <v>4442181.818181817</v>
      </c>
      <c r="G14" s="230">
        <f>F14*10%</f>
        <v>444218.18181818177</v>
      </c>
      <c r="H14" s="231">
        <f t="shared" si="0"/>
        <v>4886399.999999999</v>
      </c>
      <c r="I14" s="350"/>
      <c r="J14" s="155">
        <f>'bảng nội suy QD79'!N229</f>
        <v>4.072</v>
      </c>
      <c r="K14" s="155"/>
      <c r="L14" s="159"/>
      <c r="M14" s="432"/>
      <c r="N14" s="159"/>
      <c r="O14" s="177"/>
    </row>
    <row r="15" spans="1:15" s="158" customFormat="1" ht="16.5" hidden="1">
      <c r="A15" s="202"/>
      <c r="B15" s="154" t="s">
        <v>1187</v>
      </c>
      <c r="C15" s="154"/>
      <c r="D15" s="153" t="s">
        <v>327</v>
      </c>
      <c r="E15" s="153" t="str">
        <f>"(Gxd +Gtb) x "&amp;J15&amp;"% "&amp;"x "&amp;K15</f>
        <v>(Gxd +Gtb) x 0,668% x 1</v>
      </c>
      <c r="F15" s="442">
        <f>(GXD+GTB)*J15%*K15*0</f>
        <v>0</v>
      </c>
      <c r="G15" s="151">
        <f aca="true" t="shared" si="1" ref="G15:G35">F15*10%</f>
        <v>0</v>
      </c>
      <c r="H15" s="203">
        <f t="shared" si="0"/>
        <v>0</v>
      </c>
      <c r="I15" s="350"/>
      <c r="J15" s="155">
        <f>VLOOKUP(L6,'bảng nội suy QD79'!$A$25:$O$29,15,1)</f>
        <v>0.668</v>
      </c>
      <c r="K15" s="436">
        <v>1</v>
      </c>
      <c r="L15" s="159"/>
      <c r="M15" s="432"/>
      <c r="N15" s="159"/>
      <c r="O15" s="177"/>
    </row>
    <row r="16" spans="1:15" s="158" customFormat="1" ht="16.5" hidden="1">
      <c r="A16" s="202"/>
      <c r="B16" s="154" t="s">
        <v>1210</v>
      </c>
      <c r="C16" s="154"/>
      <c r="D16" s="153" t="s">
        <v>1212</v>
      </c>
      <c r="E16" s="153" t="str">
        <f>"(Gxd +Gtb) x "&amp;J16&amp;"% "</f>
        <v>(Gxd +Gtb) x 1,114% </v>
      </c>
      <c r="F16" s="442">
        <f>(GXD+GTB)*J16%*K16</f>
        <v>0</v>
      </c>
      <c r="G16" s="151">
        <f t="shared" si="1"/>
        <v>0</v>
      </c>
      <c r="H16" s="203">
        <f t="shared" si="0"/>
        <v>0</v>
      </c>
      <c r="I16" s="350"/>
      <c r="J16" s="155" t="str">
        <f>VLOOKUP(L6,'bảng nội suy QD79'!$A$37:$O$41,15,1)</f>
        <v>1,114</v>
      </c>
      <c r="K16" s="436">
        <v>0</v>
      </c>
      <c r="L16" s="159"/>
      <c r="M16" s="432"/>
      <c r="N16" s="159"/>
      <c r="O16" s="177"/>
    </row>
    <row r="17" spans="1:15" s="158" customFormat="1" ht="16.5" hidden="1">
      <c r="A17" s="202"/>
      <c r="B17" s="154" t="s">
        <v>1188</v>
      </c>
      <c r="C17" s="154"/>
      <c r="D17" s="153" t="s">
        <v>328</v>
      </c>
      <c r="E17" s="153" t="str">
        <f>"(Gxd +Gtb) x "&amp;J17&amp;"% "</f>
        <v>(Gxd +Gtb) x 0,071% </v>
      </c>
      <c r="F17" s="442">
        <f>(GXD+GTB)*J17%*0</f>
        <v>0</v>
      </c>
      <c r="G17" s="151">
        <f t="shared" si="1"/>
        <v>0</v>
      </c>
      <c r="H17" s="203">
        <f t="shared" si="0"/>
        <v>0</v>
      </c>
      <c r="I17" s="350"/>
      <c r="J17" s="155" t="str">
        <f>VLOOKUP(L6,'bảng nội suy QD79'!$A$133:$O$137,15,1)</f>
        <v>0,071</v>
      </c>
      <c r="K17" s="155"/>
      <c r="L17" s="159"/>
      <c r="M17" s="432"/>
      <c r="N17" s="159"/>
      <c r="O17" s="177"/>
    </row>
    <row r="18" spans="1:15" s="158" customFormat="1" ht="30" hidden="1">
      <c r="A18" s="202"/>
      <c r="B18" s="154" t="s">
        <v>1211</v>
      </c>
      <c r="C18" s="154"/>
      <c r="D18" s="153" t="s">
        <v>1213</v>
      </c>
      <c r="E18" s="153" t="str">
        <f>"(Gxd +Gtb) x "&amp;J18&amp;"% "</f>
        <v>(Gxd +Gtb) x 0,204% </v>
      </c>
      <c r="F18" s="442">
        <v>0</v>
      </c>
      <c r="G18" s="151">
        <f t="shared" si="1"/>
        <v>0</v>
      </c>
      <c r="H18" s="203">
        <f t="shared" si="0"/>
        <v>0</v>
      </c>
      <c r="I18" s="350"/>
      <c r="J18" s="155" t="str">
        <f>VLOOKUP(L6,'bảng nội suy QD79'!A145:$O$149,15,1)</f>
        <v>0,204</v>
      </c>
      <c r="K18" s="155"/>
      <c r="L18" s="159"/>
      <c r="M18" s="432"/>
      <c r="N18" s="159"/>
      <c r="O18" s="177"/>
    </row>
    <row r="19" spans="1:15" s="158" customFormat="1" ht="16.5">
      <c r="A19" s="202"/>
      <c r="B19" s="154" t="str">
        <f>IF(GXD+GTB&lt;=15000000000,"Chi phí BCKTKT"," Chi phí thiết kế + dự toán ")</f>
        <v>Chi phí BCKTKT</v>
      </c>
      <c r="C19" s="154" t="s">
        <v>434</v>
      </c>
      <c r="D19" s="153" t="s">
        <v>1214</v>
      </c>
      <c r="E19" s="153" t="str">
        <f>IF(H19&lt;=5000000,"tối thiểu","(Gxd +Gtb) x "&amp;J19&amp;"% ")</f>
        <v>(Gxd +Gtb) x 3,963% </v>
      </c>
      <c r="F19" s="151">
        <f>IF((GXD+GTB)*J19%&lt;5000000,5000000/1.1,(GXD+GTB)*J19%)</f>
        <v>402484165.9917</v>
      </c>
      <c r="G19" s="151">
        <f t="shared" si="1"/>
        <v>40248416.59917</v>
      </c>
      <c r="H19" s="203">
        <f t="shared" si="0"/>
        <v>442732582.59087</v>
      </c>
      <c r="I19" s="351"/>
      <c r="J19" s="155">
        <f>IF(VLOOKUP(L6,'bảng nội suy QD79'!$A$49:$H$53,7.1)=0,VLOOKUP(N20,'bảng nội suy QD79'!A69:N73,14,1),VLOOKUP(L6,'bảng nội suy QD79'!$A$49:$H$53,7.1))</f>
        <v>3.963</v>
      </c>
      <c r="K19" s="155"/>
      <c r="L19" s="427"/>
      <c r="M19" s="159"/>
      <c r="N19" s="401"/>
      <c r="O19" s="177"/>
    </row>
    <row r="20" spans="1:14" s="158" customFormat="1" ht="16.5">
      <c r="A20" s="202"/>
      <c r="B20" s="154" t="s">
        <v>274</v>
      </c>
      <c r="C20" s="154" t="s">
        <v>434</v>
      </c>
      <c r="D20" s="153" t="s">
        <v>1215</v>
      </c>
      <c r="E20" s="153" t="str">
        <f>IF(H20&lt;=2000000," tối thiểu ","Gxd x "&amp;J20&amp;"% ")</f>
        <v>Gxd x 0,257% </v>
      </c>
      <c r="F20" s="151">
        <f>IF((GXD)*J20%&lt;2000000,2000000/1.1,(GXD)*J20%)</f>
        <v>26101042.306300003</v>
      </c>
      <c r="G20" s="151">
        <f t="shared" si="1"/>
        <v>2610104.2306300006</v>
      </c>
      <c r="H20" s="203">
        <f>G20+F20</f>
        <v>28711146.536930002</v>
      </c>
      <c r="I20" s="351"/>
      <c r="J20" s="155">
        <f>VLOOKUP(L6,'bảng nội suy QD79'!$A$157:$N$161,14,1)</f>
        <v>0.257</v>
      </c>
      <c r="K20" s="155"/>
      <c r="L20" s="427"/>
      <c r="M20" s="404" t="s">
        <v>1181</v>
      </c>
      <c r="N20" s="402" t="s">
        <v>733</v>
      </c>
    </row>
    <row r="21" spans="1:14" s="158" customFormat="1" ht="16.5">
      <c r="A21" s="202"/>
      <c r="B21" s="154" t="s">
        <v>275</v>
      </c>
      <c r="C21" s="154" t="s">
        <v>434</v>
      </c>
      <c r="D21" s="153" t="s">
        <v>1217</v>
      </c>
      <c r="E21" s="153" t="str">
        <f>IF(H21&lt;=2000000,"tối thiểu ","Gxd x "&amp;J21&amp;"%")</f>
        <v>Gxd x 0,25%</v>
      </c>
      <c r="F21" s="151">
        <f>IF((GXD)*J21%&lt;2000000,2000000/1.1,(GXD)*J21%)</f>
        <v>25390118.975</v>
      </c>
      <c r="G21" s="151">
        <f t="shared" si="1"/>
        <v>2539011.8975000004</v>
      </c>
      <c r="H21" s="203">
        <f>G21+F21</f>
        <v>27929130.872500002</v>
      </c>
      <c r="I21" s="351"/>
      <c r="J21" s="155">
        <f>VLOOKUP(L6,'bảng nội suy QD79'!$A$169:$N$173,14,1)</f>
        <v>0.25</v>
      </c>
      <c r="K21" s="155"/>
      <c r="L21" s="427"/>
      <c r="M21" s="373" t="s">
        <v>648</v>
      </c>
      <c r="N21" s="372" t="s">
        <v>703</v>
      </c>
    </row>
    <row r="22" spans="1:14" s="158" customFormat="1" ht="16.5">
      <c r="A22" s="202"/>
      <c r="B22" s="154" t="s">
        <v>276</v>
      </c>
      <c r="C22" s="154" t="s">
        <v>434</v>
      </c>
      <c r="D22" s="153" t="s">
        <v>1218</v>
      </c>
      <c r="E22" s="153" t="str">
        <f>"Gxd x "&amp;J22&amp;"%"</f>
        <v>Gxd x 3,278%</v>
      </c>
      <c r="F22" s="151">
        <f>$F$6*J22%</f>
        <v>332915240.00020003</v>
      </c>
      <c r="G22" s="151">
        <f>F22*10%</f>
        <v>33291524.000020005</v>
      </c>
      <c r="H22" s="203">
        <f>F22+G22</f>
        <v>366206764.00022006</v>
      </c>
      <c r="I22" s="351"/>
      <c r="J22" s="155">
        <f>VLOOKUP(L6,'bảng nội suy QD79'!$A$205:$N$209,14,1)</f>
        <v>3.278</v>
      </c>
      <c r="K22" s="155"/>
      <c r="L22" s="427"/>
      <c r="M22" s="373" t="s">
        <v>661</v>
      </c>
      <c r="N22" s="372" t="s">
        <v>714</v>
      </c>
    </row>
    <row r="23" spans="1:14" s="158" customFormat="1" ht="21.75" customHeight="1" hidden="1">
      <c r="A23" s="202"/>
      <c r="B23" s="154" t="s">
        <v>277</v>
      </c>
      <c r="C23" s="154" t="s">
        <v>434</v>
      </c>
      <c r="D23" s="153" t="s">
        <v>1219</v>
      </c>
      <c r="E23" s="153" t="str">
        <f>"Gtb x "&amp;J23&amp;"%"</f>
        <v>Gtb x 0,844%</v>
      </c>
      <c r="F23" s="151">
        <f>GTB*J23%</f>
        <v>0</v>
      </c>
      <c r="G23" s="151">
        <f>F23*10%</f>
        <v>0</v>
      </c>
      <c r="H23" s="203">
        <f>F23+G23</f>
        <v>0</v>
      </c>
      <c r="I23" s="351"/>
      <c r="J23" s="155" t="str">
        <f>VLOOKUP(L6,'bảng nội suy QD79'!$A$217:$N$221,14,1)</f>
        <v>0,844</v>
      </c>
      <c r="K23" s="155"/>
      <c r="L23" s="427"/>
      <c r="M23" s="373" t="s">
        <v>673</v>
      </c>
      <c r="N23" s="372" t="s">
        <v>723</v>
      </c>
    </row>
    <row r="24" spans="1:14" s="158" customFormat="1" ht="21.75" customHeight="1">
      <c r="A24" s="202"/>
      <c r="B24" s="154" t="s">
        <v>305</v>
      </c>
      <c r="C24" s="154" t="s">
        <v>434</v>
      </c>
      <c r="D24" s="153" t="s">
        <v>1220</v>
      </c>
      <c r="E24" s="153" t="str">
        <f>"Gxd x "&amp;J24&amp;"% "</f>
        <v>Gxd x 0,431% </v>
      </c>
      <c r="F24" s="151">
        <f>GXD*J24%</f>
        <v>43772565.1129</v>
      </c>
      <c r="G24" s="151">
        <f t="shared" si="1"/>
        <v>4377256.51129</v>
      </c>
      <c r="H24" s="203">
        <f>F24+G24</f>
        <v>48149821.624189995</v>
      </c>
      <c r="I24" s="351"/>
      <c r="J24" s="155">
        <f>VLOOKUP(L6,'bảng nội suy QD79'!$A$181:$K$185,11,1)</f>
        <v>0.431</v>
      </c>
      <c r="K24" s="155"/>
      <c r="L24" s="427"/>
      <c r="M24" s="373" t="s">
        <v>684</v>
      </c>
      <c r="N24" s="372" t="s">
        <v>733</v>
      </c>
    </row>
    <row r="25" spans="1:14" s="158" customFormat="1" ht="20.25" customHeight="1" hidden="1">
      <c r="A25" s="202"/>
      <c r="B25" s="154" t="s">
        <v>1186</v>
      </c>
      <c r="C25" s="154" t="s">
        <v>434</v>
      </c>
      <c r="D25" s="153" t="s">
        <v>1221</v>
      </c>
      <c r="E25" s="153" t="str">
        <f>"Gtb x "&amp;J25&amp;"%"</f>
        <v>Gtb x 0,367%</v>
      </c>
      <c r="F25" s="151">
        <f>GTB*J25%</f>
        <v>0</v>
      </c>
      <c r="G25" s="151">
        <f t="shared" si="1"/>
        <v>0</v>
      </c>
      <c r="H25" s="203">
        <f>F25+G25</f>
        <v>0</v>
      </c>
      <c r="I25" s="351"/>
      <c r="J25" s="155" t="str">
        <f>VLOOKUP(L6,'bảng nội suy QD79'!A193:$K$197,11,1)</f>
        <v>0,367</v>
      </c>
      <c r="K25" s="155"/>
      <c r="L25" s="427"/>
      <c r="M25" s="373" t="s">
        <v>695</v>
      </c>
      <c r="N25" s="372" t="s">
        <v>740</v>
      </c>
    </row>
    <row r="26" spans="1:15" s="158" customFormat="1" ht="21.75" customHeight="1">
      <c r="A26" s="202"/>
      <c r="B26" s="154" t="s">
        <v>306</v>
      </c>
      <c r="C26" s="154" t="s">
        <v>431</v>
      </c>
      <c r="D26" s="153" t="s">
        <v>1222</v>
      </c>
      <c r="E26" s="153" t="str">
        <f>IF(H26&lt;=1000000," tối thiểu ","Gxd x "&amp;J26&amp;"%")</f>
        <v>Gxd x 0,05%</v>
      </c>
      <c r="F26" s="151">
        <f>IF(GXD*J26%&lt;1000000,1000000/1.1,GXD*J26%)</f>
        <v>5078023.795</v>
      </c>
      <c r="G26" s="151">
        <f t="shared" si="1"/>
        <v>507802.37950000004</v>
      </c>
      <c r="H26" s="203">
        <f aca="true" t="shared" si="2" ref="H26:H36">G26+F26</f>
        <v>5585826.1745</v>
      </c>
      <c r="I26" s="351"/>
      <c r="J26" s="155">
        <v>0.05</v>
      </c>
      <c r="K26" s="155"/>
      <c r="L26" s="427"/>
      <c r="M26" s="159"/>
      <c r="N26" s="157"/>
      <c r="O26" s="177"/>
    </row>
    <row r="27" spans="1:15" s="551" customFormat="1" ht="16.5">
      <c r="A27" s="544"/>
      <c r="B27" s="545" t="s">
        <v>307</v>
      </c>
      <c r="C27" s="545" t="s">
        <v>431</v>
      </c>
      <c r="D27" s="546" t="s">
        <v>1223</v>
      </c>
      <c r="E27" s="546" t="str">
        <f>IF(H27&lt;=1000000,"tối thiểu ","Gxd x "&amp;J27&amp;"%")</f>
        <v>Gxd x 0,05%</v>
      </c>
      <c r="F27" s="230">
        <f>IF(GXD*J27%&lt;1000000,1000000/1.1,GXD*J27%)</f>
        <v>5078023.795</v>
      </c>
      <c r="G27" s="230">
        <f t="shared" si="1"/>
        <v>507802.37950000004</v>
      </c>
      <c r="H27" s="231">
        <f t="shared" si="2"/>
        <v>5585826.1745</v>
      </c>
      <c r="I27" s="350"/>
      <c r="J27" s="225">
        <v>0.05</v>
      </c>
      <c r="K27" s="225"/>
      <c r="L27" s="547"/>
      <c r="M27" s="548"/>
      <c r="N27" s="549"/>
      <c r="O27" s="550"/>
    </row>
    <row r="28" spans="1:15" s="551" customFormat="1" ht="16.5">
      <c r="A28" s="544"/>
      <c r="B28" s="545" t="s">
        <v>308</v>
      </c>
      <c r="C28" s="545" t="s">
        <v>431</v>
      </c>
      <c r="D28" s="546" t="s">
        <v>1240</v>
      </c>
      <c r="E28" s="546" t="str">
        <f>IF(F28&lt;=1000000,"tối thiểu","Gtb x "&amp;J28&amp;"%")</f>
        <v>tối thiểu</v>
      </c>
      <c r="F28" s="230">
        <f>IF(GTB=0,0,IF(GTB*J28%&lt;1000000,1000000/1.1,GTB*J28%))</f>
        <v>0</v>
      </c>
      <c r="G28" s="230">
        <f>F28*10%</f>
        <v>0</v>
      </c>
      <c r="H28" s="231">
        <f t="shared" si="2"/>
        <v>0</v>
      </c>
      <c r="I28" s="350"/>
      <c r="J28" s="225">
        <v>0.05</v>
      </c>
      <c r="K28" s="225"/>
      <c r="L28" s="547"/>
      <c r="M28" s="548"/>
      <c r="N28" s="549"/>
      <c r="O28" s="550"/>
    </row>
    <row r="29" spans="1:15" s="551" customFormat="1" ht="16.5">
      <c r="A29" s="544"/>
      <c r="B29" s="545" t="s">
        <v>433</v>
      </c>
      <c r="C29" s="545" t="s">
        <v>431</v>
      </c>
      <c r="D29" s="546" t="s">
        <v>1241</v>
      </c>
      <c r="E29" s="546" t="s">
        <v>329</v>
      </c>
      <c r="F29" s="230">
        <f>5000000/1.1</f>
        <v>4545454.545454545</v>
      </c>
      <c r="G29" s="230">
        <f t="shared" si="1"/>
        <v>454545.45454545453</v>
      </c>
      <c r="H29" s="231">
        <f t="shared" si="2"/>
        <v>4999999.999999999</v>
      </c>
      <c r="I29" s="350"/>
      <c r="J29" s="225">
        <v>0.05</v>
      </c>
      <c r="K29" s="225"/>
      <c r="L29" s="547"/>
      <c r="M29" s="548"/>
      <c r="N29" s="549"/>
      <c r="O29" s="550"/>
    </row>
    <row r="30" spans="1:15" s="551" customFormat="1" ht="16.5">
      <c r="A30" s="544"/>
      <c r="B30" s="545" t="s">
        <v>1239</v>
      </c>
      <c r="C30" s="545" t="s">
        <v>431</v>
      </c>
      <c r="D30" s="546" t="s">
        <v>1242</v>
      </c>
      <c r="E30" s="546" t="str">
        <f>IF(H30&lt;=1000000,"tối thiểu ","Gxd x "&amp;J30&amp;"%")</f>
        <v>tối thiểu </v>
      </c>
      <c r="F30" s="230">
        <f>IF(GTB*J30%&lt;1000000,1000000/1.1,GTB*J30%)</f>
        <v>909090.9090909091</v>
      </c>
      <c r="G30" s="230">
        <f t="shared" si="1"/>
        <v>90909.09090909091</v>
      </c>
      <c r="H30" s="231">
        <f t="shared" si="2"/>
        <v>1000000</v>
      </c>
      <c r="I30" s="350"/>
      <c r="J30" s="225">
        <v>0.05</v>
      </c>
      <c r="K30" s="225"/>
      <c r="L30" s="547"/>
      <c r="M30" s="548"/>
      <c r="N30" s="549"/>
      <c r="O30" s="550"/>
    </row>
    <row r="31" spans="1:15" s="551" customFormat="1" ht="16.5" hidden="1">
      <c r="A31" s="544"/>
      <c r="B31" s="552" t="s">
        <v>1226</v>
      </c>
      <c r="C31" s="552"/>
      <c r="D31" s="546" t="s">
        <v>1243</v>
      </c>
      <c r="E31" s="553" t="s">
        <v>1328</v>
      </c>
      <c r="F31" s="230">
        <v>0</v>
      </c>
      <c r="G31" s="230">
        <f t="shared" si="1"/>
        <v>0</v>
      </c>
      <c r="H31" s="231">
        <f t="shared" si="2"/>
        <v>0</v>
      </c>
      <c r="I31" s="350"/>
      <c r="J31" s="225">
        <f>0.816</f>
        <v>0.816</v>
      </c>
      <c r="K31" s="225"/>
      <c r="L31" s="547"/>
      <c r="M31" s="548"/>
      <c r="N31" s="549"/>
      <c r="O31" s="550"/>
    </row>
    <row r="32" spans="1:15" s="551" customFormat="1" ht="16.5" hidden="1">
      <c r="A32" s="544"/>
      <c r="B32" s="552" t="s">
        <v>1227</v>
      </c>
      <c r="C32" s="552"/>
      <c r="D32" s="546" t="s">
        <v>1244</v>
      </c>
      <c r="E32" s="553" t="s">
        <v>1249</v>
      </c>
      <c r="F32" s="230">
        <v>0</v>
      </c>
      <c r="G32" s="230">
        <f t="shared" si="1"/>
        <v>0</v>
      </c>
      <c r="H32" s="231">
        <f t="shared" si="2"/>
        <v>0</v>
      </c>
      <c r="I32" s="350"/>
      <c r="J32" s="225">
        <v>0.05</v>
      </c>
      <c r="K32" s="225"/>
      <c r="L32" s="547"/>
      <c r="M32" s="548"/>
      <c r="N32" s="549"/>
      <c r="O32" s="550"/>
    </row>
    <row r="33" spans="1:15" s="551" customFormat="1" ht="30" hidden="1">
      <c r="A33" s="544"/>
      <c r="B33" s="545" t="s">
        <v>1228</v>
      </c>
      <c r="C33" s="552"/>
      <c r="D33" s="546" t="s">
        <v>1245</v>
      </c>
      <c r="E33" s="553" t="s">
        <v>1249</v>
      </c>
      <c r="F33" s="230">
        <v>0</v>
      </c>
      <c r="G33" s="230">
        <f>F33*10%</f>
        <v>0</v>
      </c>
      <c r="H33" s="231">
        <f t="shared" si="2"/>
        <v>0</v>
      </c>
      <c r="I33" s="350"/>
      <c r="J33" s="225">
        <v>0.05</v>
      </c>
      <c r="K33" s="225"/>
      <c r="L33" s="547"/>
      <c r="M33" s="548"/>
      <c r="N33" s="549"/>
      <c r="O33" s="550"/>
    </row>
    <row r="34" spans="1:15" s="551" customFormat="1" ht="16.5" hidden="1">
      <c r="A34" s="544"/>
      <c r="B34" s="552" t="s">
        <v>1229</v>
      </c>
      <c r="C34" s="552"/>
      <c r="D34" s="546" t="s">
        <v>1246</v>
      </c>
      <c r="E34" s="553" t="s">
        <v>1329</v>
      </c>
      <c r="F34" s="230">
        <v>0</v>
      </c>
      <c r="G34" s="230">
        <f t="shared" si="1"/>
        <v>0</v>
      </c>
      <c r="H34" s="231">
        <f t="shared" si="2"/>
        <v>0</v>
      </c>
      <c r="I34" s="350"/>
      <c r="J34" s="225">
        <v>0.816</v>
      </c>
      <c r="K34" s="225"/>
      <c r="L34" s="547"/>
      <c r="M34" s="548"/>
      <c r="N34" s="549"/>
      <c r="O34" s="550"/>
    </row>
    <row r="35" spans="1:15" s="551" customFormat="1" ht="16.5" hidden="1">
      <c r="A35" s="544"/>
      <c r="B35" s="552" t="s">
        <v>1230</v>
      </c>
      <c r="C35" s="552"/>
      <c r="D35" s="546" t="s">
        <v>1247</v>
      </c>
      <c r="E35" s="553" t="s">
        <v>1250</v>
      </c>
      <c r="F35" s="230">
        <v>0</v>
      </c>
      <c r="G35" s="230">
        <f t="shared" si="1"/>
        <v>0</v>
      </c>
      <c r="H35" s="231">
        <f t="shared" si="2"/>
        <v>0</v>
      </c>
      <c r="I35" s="350"/>
      <c r="J35" s="225">
        <v>0.05</v>
      </c>
      <c r="K35" s="225"/>
      <c r="L35" s="547"/>
      <c r="M35" s="548"/>
      <c r="N35" s="549"/>
      <c r="O35" s="550"/>
    </row>
    <row r="36" spans="1:15" s="551" customFormat="1" ht="30" hidden="1">
      <c r="A36" s="544"/>
      <c r="B36" s="545" t="s">
        <v>1231</v>
      </c>
      <c r="C36" s="552"/>
      <c r="D36" s="546" t="s">
        <v>1248</v>
      </c>
      <c r="E36" s="553" t="s">
        <v>1250</v>
      </c>
      <c r="F36" s="230">
        <v>0</v>
      </c>
      <c r="G36" s="230">
        <f>F36*10%</f>
        <v>0</v>
      </c>
      <c r="H36" s="231">
        <f t="shared" si="2"/>
        <v>0</v>
      </c>
      <c r="I36" s="350"/>
      <c r="J36" s="225">
        <v>0.05</v>
      </c>
      <c r="K36" s="225"/>
      <c r="L36" s="547"/>
      <c r="M36" s="548"/>
      <c r="N36" s="549"/>
      <c r="O36" s="550"/>
    </row>
    <row r="37" spans="1:15" s="551" customFormat="1" ht="15.75" hidden="1">
      <c r="A37" s="554"/>
      <c r="B37" s="555"/>
      <c r="C37" s="556"/>
      <c r="D37" s="546"/>
      <c r="E37" s="557"/>
      <c r="F37" s="558"/>
      <c r="G37" s="558"/>
      <c r="H37" s="559"/>
      <c r="I37" s="350"/>
      <c r="J37" s="225"/>
      <c r="K37" s="225"/>
      <c r="L37" s="547"/>
      <c r="M37" s="548"/>
      <c r="N37" s="549"/>
      <c r="O37" s="550"/>
    </row>
    <row r="38" spans="1:14" s="158" customFormat="1" ht="17.25">
      <c r="A38" s="204" t="s">
        <v>35</v>
      </c>
      <c r="B38" s="180" t="s">
        <v>278</v>
      </c>
      <c r="C38" s="180"/>
      <c r="D38" s="179" t="s">
        <v>295</v>
      </c>
      <c r="E38" s="179" t="s">
        <v>289</v>
      </c>
      <c r="F38" s="181">
        <f>SUM(F39:F46)</f>
        <v>149996590.89523542</v>
      </c>
      <c r="G38" s="181">
        <f>SUM(G39:G46)</f>
        <v>12157579.45851741</v>
      </c>
      <c r="H38" s="205">
        <f>SUM(H39:H46)</f>
        <v>162154170.35375285</v>
      </c>
      <c r="I38" s="347"/>
      <c r="J38" s="182">
        <v>9246473740.99873</v>
      </c>
      <c r="K38" s="232"/>
      <c r="L38" s="175"/>
      <c r="M38" s="175"/>
      <c r="N38" s="157"/>
    </row>
    <row r="39" spans="1:14" s="158" customFormat="1" ht="16.5" hidden="1">
      <c r="A39" s="202"/>
      <c r="B39" s="154" t="s">
        <v>1232</v>
      </c>
      <c r="C39" s="154" t="s">
        <v>1209</v>
      </c>
      <c r="D39" s="153" t="s">
        <v>1233</v>
      </c>
      <c r="E39" s="153" t="str">
        <f>"TMDT x "&amp;J39&amp;"%"</f>
        <v>TMDT x 0,0169%</v>
      </c>
      <c r="F39" s="151">
        <v>0</v>
      </c>
      <c r="G39" s="151">
        <f>F39*10%</f>
        <v>0</v>
      </c>
      <c r="H39" s="203">
        <f>F39+G39</f>
        <v>0</v>
      </c>
      <c r="I39" s="351"/>
      <c r="J39" s="155">
        <v>0.0169</v>
      </c>
      <c r="K39" s="155"/>
      <c r="L39" s="156"/>
      <c r="M39" s="156"/>
      <c r="N39" s="157"/>
    </row>
    <row r="40" spans="1:14" s="158" customFormat="1" ht="16.5">
      <c r="A40" s="202"/>
      <c r="B40" s="154" t="s">
        <v>1338</v>
      </c>
      <c r="C40" s="154"/>
      <c r="D40" s="153" t="s">
        <v>1216</v>
      </c>
      <c r="E40" s="153" t="str">
        <f>"TMDT x "&amp;J40&amp;"% "</f>
        <v>TMDT x 0,019% </v>
      </c>
      <c r="F40" s="151">
        <f>GXD*J40%</f>
        <v>1929649.0420999997</v>
      </c>
      <c r="G40" s="151"/>
      <c r="H40" s="203">
        <f>F40+G40</f>
        <v>1929649.0420999997</v>
      </c>
      <c r="I40" s="351"/>
      <c r="J40" s="155">
        <v>0.019</v>
      </c>
      <c r="K40" s="155"/>
      <c r="L40" s="156"/>
      <c r="M40" s="156"/>
      <c r="N40" s="157"/>
    </row>
    <row r="41" spans="1:14" s="158" customFormat="1" ht="24.75" customHeight="1">
      <c r="A41" s="202"/>
      <c r="B41" s="154" t="s">
        <v>279</v>
      </c>
      <c r="C41" s="337"/>
      <c r="D41" s="153" t="s">
        <v>1234</v>
      </c>
      <c r="E41" s="153" t="str">
        <f>"Gxd x "&amp;J41&amp;"% "</f>
        <v>Gxd x 0,15% </v>
      </c>
      <c r="F41" s="151">
        <f>$F$6*J41%</f>
        <v>15234071.385</v>
      </c>
      <c r="G41" s="151">
        <f>F41*10%</f>
        <v>1523407.1385000001</v>
      </c>
      <c r="H41" s="203">
        <f>F41+G41</f>
        <v>16757478.5235</v>
      </c>
      <c r="I41" s="351"/>
      <c r="J41" s="155">
        <v>0.15</v>
      </c>
      <c r="K41" s="155"/>
      <c r="L41" s="159"/>
      <c r="M41" s="159"/>
      <c r="N41" s="157"/>
    </row>
    <row r="42" spans="1:14" s="158" customFormat="1" ht="24.75" customHeight="1">
      <c r="A42" s="202"/>
      <c r="B42" s="154" t="s">
        <v>280</v>
      </c>
      <c r="C42" s="214" t="s">
        <v>311</v>
      </c>
      <c r="D42" s="153" t="s">
        <v>296</v>
      </c>
      <c r="E42" s="153" t="str">
        <f>"8.926.631.000 x "&amp;J42&amp;"% x 50%"</f>
        <v>8.926.631.000 x 0,573% x 50%</v>
      </c>
      <c r="F42" s="151">
        <f>$J$38*J42%*0.5</f>
        <v>26491147.26796136</v>
      </c>
      <c r="G42" s="151"/>
      <c r="H42" s="203">
        <f>F42+G42</f>
        <v>26491147.26796136</v>
      </c>
      <c r="I42" s="351"/>
      <c r="J42" s="429">
        <v>0.573</v>
      </c>
      <c r="K42" s="429"/>
      <c r="L42" s="159"/>
      <c r="M42" s="159"/>
      <c r="N42" s="157"/>
    </row>
    <row r="43" spans="1:14" s="158" customFormat="1" ht="24.75" customHeight="1">
      <c r="A43" s="202"/>
      <c r="B43" s="154" t="s">
        <v>281</v>
      </c>
      <c r="C43" s="214" t="s">
        <v>311</v>
      </c>
      <c r="D43" s="153" t="s">
        <v>1235</v>
      </c>
      <c r="E43" s="153" t="str">
        <f>"8.926.631.000 x "&amp;J43&amp;"%"</f>
        <v>8.926.631.000 x 0,648%</v>
      </c>
      <c r="F43" s="151">
        <f>$J$38*J43%</f>
        <v>59917149.84167177</v>
      </c>
      <c r="G43" s="151">
        <f>F43*10%</f>
        <v>5991714.984167177</v>
      </c>
      <c r="H43" s="203">
        <f>F43+G43</f>
        <v>65908864.82583895</v>
      </c>
      <c r="I43" s="351"/>
      <c r="J43" s="429">
        <v>0.648</v>
      </c>
      <c r="K43" s="429"/>
      <c r="L43" s="159"/>
      <c r="M43" s="159"/>
      <c r="N43" s="157"/>
    </row>
    <row r="44" spans="1:14" s="158" customFormat="1" ht="24.75" customHeight="1">
      <c r="A44" s="202"/>
      <c r="B44" s="154" t="s">
        <v>312</v>
      </c>
      <c r="C44" s="214"/>
      <c r="D44" s="153" t="s">
        <v>1236</v>
      </c>
      <c r="E44" s="153" t="str">
        <f>"TMDT x "&amp;J44&amp;"%"</f>
        <v>TMDT x 0,0097%</v>
      </c>
      <c r="F44" s="151">
        <f>J50*J44%</f>
        <v>970027.903956859</v>
      </c>
      <c r="G44" s="151">
        <f>F44*10%</f>
        <v>97002.79039568591</v>
      </c>
      <c r="H44" s="203">
        <f>G44+F44</f>
        <v>1067030.6943525448</v>
      </c>
      <c r="I44" s="351"/>
      <c r="J44" s="428">
        <f>ROUND(VLOOKUP(L6,'nội suy'!$B$32:$J$37,9,0),4)</f>
        <v>0.0097</v>
      </c>
      <c r="K44" s="428"/>
      <c r="L44" s="159"/>
      <c r="M44" s="159"/>
      <c r="N44" s="157"/>
    </row>
    <row r="45" spans="1:14" s="158" customFormat="1" ht="24.75" customHeight="1">
      <c r="A45" s="202"/>
      <c r="B45" s="154" t="s">
        <v>1225</v>
      </c>
      <c r="C45" s="214"/>
      <c r="D45" s="153" t="s">
        <v>1237</v>
      </c>
      <c r="E45" s="153" t="s">
        <v>1224</v>
      </c>
      <c r="F45" s="151">
        <f>50000000/1.1</f>
        <v>45454545.45454545</v>
      </c>
      <c r="G45" s="151">
        <f>F45*10%</f>
        <v>4545454.545454546</v>
      </c>
      <c r="H45" s="203">
        <f>G45+F45</f>
        <v>50000000</v>
      </c>
      <c r="I45" s="351"/>
      <c r="J45" s="428"/>
      <c r="K45" s="428"/>
      <c r="L45" s="159"/>
      <c r="M45" s="159"/>
      <c r="N45" s="157"/>
    </row>
    <row r="46" spans="1:14" s="158" customFormat="1" ht="24.75" customHeight="1" hidden="1">
      <c r="A46" s="202"/>
      <c r="B46" s="154" t="s">
        <v>300</v>
      </c>
      <c r="C46" s="154"/>
      <c r="D46" s="153" t="s">
        <v>1238</v>
      </c>
      <c r="E46" s="153" t="s">
        <v>329</v>
      </c>
      <c r="F46" s="151">
        <f>1000000/1.1*0</f>
        <v>0</v>
      </c>
      <c r="G46" s="151">
        <f>F46*0.1</f>
        <v>0</v>
      </c>
      <c r="H46" s="203">
        <f>G46+F46</f>
        <v>0</v>
      </c>
      <c r="I46" s="351"/>
      <c r="J46" s="155"/>
      <c r="K46" s="155"/>
      <c r="L46" s="159"/>
      <c r="M46" s="159"/>
      <c r="N46" s="157"/>
    </row>
    <row r="47" spans="1:14" s="158" customFormat="1" ht="27" customHeight="1">
      <c r="A47" s="204" t="s">
        <v>46</v>
      </c>
      <c r="B47" s="180" t="s">
        <v>282</v>
      </c>
      <c r="C47" s="180"/>
      <c r="D47" s="179" t="s">
        <v>284</v>
      </c>
      <c r="E47" s="183" t="s">
        <v>297</v>
      </c>
      <c r="F47" s="184">
        <f>SUM(F48:F49)</f>
        <v>1103276748.0055041</v>
      </c>
      <c r="G47" s="184">
        <f>SUM(G48:G49)</f>
        <v>107714650.9236953</v>
      </c>
      <c r="H47" s="206">
        <f>SUM(H48:H49)</f>
        <v>1210991398.9291997</v>
      </c>
      <c r="I47" s="232"/>
      <c r="J47" s="588">
        <f>H38+H11+H10+H9+H6</f>
        <v>12771941318.327463</v>
      </c>
      <c r="K47" s="155"/>
      <c r="L47" s="157"/>
      <c r="M47" s="178"/>
      <c r="N47" s="157"/>
    </row>
    <row r="48" spans="1:17" s="149" customFormat="1" ht="24.75" customHeight="1">
      <c r="A48" s="207"/>
      <c r="B48" s="154" t="s">
        <v>286</v>
      </c>
      <c r="C48" s="154"/>
      <c r="D48" s="560" t="s">
        <v>298</v>
      </c>
      <c r="E48" s="561" t="str">
        <f>"(GXD+ GTB  + GQLDA+GTV+Gk) x "&amp;J48*100&amp;"%"</f>
        <v>(GXD+ GTB  + GQLDA+GTV+Gk) x 5%</v>
      </c>
      <c r="F48" s="150">
        <f>(GXD+GTB+F10+F11+F38)*J48</f>
        <v>580671972.634476</v>
      </c>
      <c r="G48" s="151">
        <f>F48*10%</f>
        <v>58067197.2634476</v>
      </c>
      <c r="H48" s="208">
        <f>G48+F48</f>
        <v>638739169.8979236</v>
      </c>
      <c r="I48" s="348"/>
      <c r="J48" s="431">
        <v>0.05</v>
      </c>
      <c r="K48" s="437"/>
      <c r="L48" s="172"/>
      <c r="M48" s="178"/>
      <c r="N48" s="146"/>
      <c r="O48" s="147"/>
      <c r="P48" s="147"/>
      <c r="Q48" s="147"/>
    </row>
    <row r="49" spans="1:17" s="149" customFormat="1" ht="24.75" customHeight="1">
      <c r="A49" s="209"/>
      <c r="B49" s="160" t="s">
        <v>287</v>
      </c>
      <c r="C49" s="160"/>
      <c r="D49" s="562" t="s">
        <v>299</v>
      </c>
      <c r="E49" s="563" t="str">
        <f>"(GXD+ GTB  + GQLDA+GTV+Gk) x "&amp;J49*100&amp;"%"</f>
        <v>(GXD+ GTB  + GQLDA+GTV+Gk) x 4,5%</v>
      </c>
      <c r="F49" s="152">
        <f>(GXD+GTB+F10+F11+F38)*J49</f>
        <v>522604775.3710283</v>
      </c>
      <c r="G49" s="152">
        <f>F49*9.5%</f>
        <v>49647453.66024769</v>
      </c>
      <c r="H49" s="233">
        <f>G49+F49</f>
        <v>572252229.031276</v>
      </c>
      <c r="I49" s="348"/>
      <c r="J49" s="431">
        <v>0.045</v>
      </c>
      <c r="K49" s="437"/>
      <c r="L49" s="172"/>
      <c r="M49" s="178"/>
      <c r="N49" s="146"/>
      <c r="O49" s="147"/>
      <c r="P49" s="147"/>
      <c r="Q49" s="147"/>
    </row>
    <row r="50" spans="1:15" s="158" customFormat="1" ht="30.75" customHeight="1" thickBot="1">
      <c r="A50" s="210"/>
      <c r="B50" s="211" t="s">
        <v>290</v>
      </c>
      <c r="C50" s="211"/>
      <c r="D50" s="212" t="s">
        <v>263</v>
      </c>
      <c r="E50" s="212" t="s">
        <v>283</v>
      </c>
      <c r="F50" s="213">
        <f>SUM(F6)+F38+F47+GTB+F10+F11</f>
        <v>12716716200.695023</v>
      </c>
      <c r="G50" s="213">
        <f>G6+G9+G10+G11+G38+G47</f>
        <v>1266216516.5616407</v>
      </c>
      <c r="H50" s="234">
        <f>H47+H38+H6+H9+H10+H11</f>
        <v>13982932717.256662</v>
      </c>
      <c r="I50" s="232"/>
      <c r="J50" s="178">
        <v>10000287669.65834</v>
      </c>
      <c r="K50" s="178"/>
      <c r="L50" s="178"/>
      <c r="M50" s="178"/>
      <c r="N50" s="157"/>
      <c r="O50" s="177"/>
    </row>
    <row r="51" spans="1:15" s="158" customFormat="1" ht="22.5" customHeight="1" thickTop="1">
      <c r="A51" s="641"/>
      <c r="B51" s="641"/>
      <c r="C51" s="641"/>
      <c r="D51" s="641"/>
      <c r="E51" s="641"/>
      <c r="F51" s="641"/>
      <c r="G51" s="641"/>
      <c r="H51" s="641"/>
      <c r="I51" s="232"/>
      <c r="J51" s="178"/>
      <c r="K51" s="178"/>
      <c r="L51" s="178"/>
      <c r="M51" s="178"/>
      <c r="N51" s="157"/>
      <c r="O51" s="177"/>
    </row>
    <row r="52" spans="1:14" s="190" customFormat="1" ht="18" customHeight="1">
      <c r="A52" s="185"/>
      <c r="B52" s="186"/>
      <c r="C52" s="186"/>
      <c r="D52" s="186"/>
      <c r="E52" s="199"/>
      <c r="F52" s="645"/>
      <c r="G52" s="645"/>
      <c r="H52" s="645"/>
      <c r="I52" s="352"/>
      <c r="J52" s="187">
        <f>+TMDT-J50</f>
        <v>3982645047.598322</v>
      </c>
      <c r="K52" s="187"/>
      <c r="L52" s="187"/>
      <c r="M52" s="188"/>
      <c r="N52" s="189"/>
    </row>
    <row r="53" spans="1:14" s="221" customFormat="1" ht="15" customHeight="1">
      <c r="A53" s="215"/>
      <c r="B53" s="216"/>
      <c r="C53" s="216"/>
      <c r="D53" s="216"/>
      <c r="E53" s="217"/>
      <c r="F53" s="643"/>
      <c r="G53" s="643"/>
      <c r="H53" s="643"/>
      <c r="I53" s="218"/>
      <c r="J53" s="219"/>
      <c r="K53" s="219"/>
      <c r="L53" s="220"/>
      <c r="M53" s="219"/>
      <c r="N53" s="220"/>
    </row>
    <row r="54" spans="1:14" s="221" customFormat="1" ht="15">
      <c r="A54" s="643"/>
      <c r="B54" s="643"/>
      <c r="C54" s="218"/>
      <c r="D54" s="222"/>
      <c r="E54" s="223"/>
      <c r="F54" s="217"/>
      <c r="G54" s="217"/>
      <c r="H54" s="217"/>
      <c r="I54" s="217"/>
      <c r="J54" s="219"/>
      <c r="K54" s="219"/>
      <c r="L54" s="219"/>
      <c r="M54" s="219"/>
      <c r="N54" s="220"/>
    </row>
    <row r="55" spans="1:14" s="221" customFormat="1" ht="15">
      <c r="A55" s="218"/>
      <c r="B55" s="218"/>
      <c r="C55" s="218"/>
      <c r="D55" s="222"/>
      <c r="E55" s="223"/>
      <c r="F55" s="217"/>
      <c r="G55" s="217"/>
      <c r="H55" s="217"/>
      <c r="I55" s="217"/>
      <c r="J55" s="219"/>
      <c r="K55" s="219"/>
      <c r="L55" s="219"/>
      <c r="M55" s="219"/>
      <c r="N55" s="220"/>
    </row>
    <row r="56" spans="1:14" s="221" customFormat="1" ht="15">
      <c r="A56" s="218"/>
      <c r="B56" s="218"/>
      <c r="C56" s="218"/>
      <c r="D56" s="222"/>
      <c r="E56" s="223"/>
      <c r="F56" s="217"/>
      <c r="G56" s="217"/>
      <c r="H56" s="217"/>
      <c r="I56" s="217"/>
      <c r="J56" s="219"/>
      <c r="K56" s="219"/>
      <c r="L56" s="219"/>
      <c r="M56" s="219"/>
      <c r="N56" s="220"/>
    </row>
    <row r="57" spans="1:14" s="221" customFormat="1" ht="15">
      <c r="A57" s="218"/>
      <c r="B57" s="218"/>
      <c r="C57" s="218"/>
      <c r="D57" s="222"/>
      <c r="E57" s="223"/>
      <c r="F57" s="217"/>
      <c r="G57" s="217"/>
      <c r="H57" s="217"/>
      <c r="I57" s="217"/>
      <c r="J57" s="219"/>
      <c r="K57" s="219"/>
      <c r="L57" s="219"/>
      <c r="M57" s="219"/>
      <c r="N57" s="220"/>
    </row>
    <row r="58" spans="1:14" s="221" customFormat="1" ht="15">
      <c r="A58" s="218"/>
      <c r="B58" s="218"/>
      <c r="C58" s="218"/>
      <c r="D58" s="222"/>
      <c r="E58" s="223"/>
      <c r="F58" s="217"/>
      <c r="G58" s="217"/>
      <c r="H58" s="217"/>
      <c r="I58" s="217"/>
      <c r="J58" s="219"/>
      <c r="K58" s="219"/>
      <c r="L58" s="219"/>
      <c r="M58" s="219"/>
      <c r="N58" s="220"/>
    </row>
    <row r="59" spans="1:14" s="221" customFormat="1" ht="15">
      <c r="A59" s="218"/>
      <c r="B59" s="218"/>
      <c r="C59" s="218"/>
      <c r="D59" s="222"/>
      <c r="E59" s="223"/>
      <c r="F59" s="217"/>
      <c r="G59" s="217"/>
      <c r="H59" s="217"/>
      <c r="I59" s="217"/>
      <c r="J59" s="219"/>
      <c r="K59" s="219"/>
      <c r="L59" s="219"/>
      <c r="M59" s="219"/>
      <c r="N59" s="220"/>
    </row>
    <row r="60" spans="1:14" s="221" customFormat="1" ht="16.5" customHeight="1">
      <c r="A60" s="643"/>
      <c r="B60" s="643"/>
      <c r="C60" s="218"/>
      <c r="D60" s="222"/>
      <c r="E60" s="223"/>
      <c r="F60" s="223"/>
      <c r="G60" s="223"/>
      <c r="H60" s="223"/>
      <c r="I60" s="223"/>
      <c r="J60" s="219"/>
      <c r="K60" s="219"/>
      <c r="L60" s="219"/>
      <c r="M60" s="219"/>
      <c r="N60" s="220"/>
    </row>
    <row r="61" spans="1:14" s="221" customFormat="1" ht="19.5" customHeight="1">
      <c r="A61" s="643"/>
      <c r="B61" s="643"/>
      <c r="C61" s="218"/>
      <c r="D61" s="222"/>
      <c r="E61" s="223"/>
      <c r="F61" s="643"/>
      <c r="G61" s="643"/>
      <c r="H61" s="643"/>
      <c r="I61" s="218"/>
      <c r="J61" s="224"/>
      <c r="K61" s="224"/>
      <c r="L61" s="219"/>
      <c r="M61" s="219"/>
      <c r="N61" s="220"/>
    </row>
    <row r="62" spans="1:14" s="193" customFormat="1" ht="12.75" customHeight="1">
      <c r="A62" s="646"/>
      <c r="B62" s="646"/>
      <c r="C62" s="335"/>
      <c r="D62" s="194"/>
      <c r="E62" s="195"/>
      <c r="F62" s="195"/>
      <c r="G62" s="195"/>
      <c r="H62" s="195"/>
      <c r="I62" s="195"/>
      <c r="J62" s="192"/>
      <c r="K62" s="192"/>
      <c r="L62" s="192"/>
      <c r="M62" s="192"/>
      <c r="N62" s="162"/>
    </row>
    <row r="63" spans="1:14" s="193" customFormat="1" ht="16.5" customHeight="1">
      <c r="A63" s="640"/>
      <c r="B63" s="640"/>
      <c r="C63" s="336"/>
      <c r="D63" s="194"/>
      <c r="E63" s="195"/>
      <c r="F63" s="195"/>
      <c r="G63" s="195"/>
      <c r="H63" s="195"/>
      <c r="I63" s="195"/>
      <c r="J63" s="192"/>
      <c r="K63" s="192"/>
      <c r="L63" s="192"/>
      <c r="M63" s="192"/>
      <c r="N63" s="162"/>
    </row>
    <row r="64" spans="1:14" s="193" customFormat="1" ht="16.5" customHeight="1">
      <c r="A64" s="640"/>
      <c r="B64" s="640"/>
      <c r="C64" s="336"/>
      <c r="D64" s="194"/>
      <c r="E64" s="195"/>
      <c r="F64" s="195"/>
      <c r="G64" s="195"/>
      <c r="H64" s="195"/>
      <c r="I64" s="195"/>
      <c r="J64" s="192"/>
      <c r="K64" s="192"/>
      <c r="L64" s="192"/>
      <c r="M64" s="192"/>
      <c r="N64" s="162"/>
    </row>
    <row r="65" spans="1:14" s="193" customFormat="1" ht="16.5" customHeight="1" hidden="1">
      <c r="A65" s="640"/>
      <c r="B65" s="640"/>
      <c r="C65" s="336"/>
      <c r="D65" s="194"/>
      <c r="E65" s="628">
        <f>3958818182+363636364</f>
        <v>4322454546</v>
      </c>
      <c r="F65" s="195"/>
      <c r="G65" s="195"/>
      <c r="H65" s="195"/>
      <c r="I65" s="195"/>
      <c r="J65" s="192"/>
      <c r="K65" s="192"/>
      <c r="L65" s="192"/>
      <c r="M65" s="192"/>
      <c r="N65" s="162"/>
    </row>
    <row r="66" spans="1:14" s="193" customFormat="1" ht="16.5" customHeight="1">
      <c r="A66" s="640"/>
      <c r="B66" s="640"/>
      <c r="C66" s="336"/>
      <c r="D66" s="194"/>
      <c r="E66" s="195"/>
      <c r="F66" s="195"/>
      <c r="G66" s="195"/>
      <c r="H66" s="195"/>
      <c r="I66" s="195"/>
      <c r="J66" s="192"/>
      <c r="K66" s="192"/>
      <c r="L66" s="192"/>
      <c r="M66" s="192"/>
      <c r="N66" s="162"/>
    </row>
    <row r="67" ht="17.25" customHeight="1">
      <c r="E67" s="196"/>
    </row>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0" customHeight="1" hidden="1"/>
    <row r="104" ht="0" customHeight="1" hidden="1"/>
    <row r="105" ht="0" customHeight="1" hidden="1"/>
    <row r="106" ht="0" customHeight="1" hidden="1"/>
    <row r="107" ht="0" customHeight="1" hidden="1"/>
    <row r="108" ht="0" customHeight="1" hidden="1"/>
  </sheetData>
  <sheetProtection selectLockedCells="1" selectUnlockedCells="1"/>
  <mergeCells count="16">
    <mergeCell ref="F52:H52"/>
    <mergeCell ref="A54:B54"/>
    <mergeCell ref="A61:B61"/>
    <mergeCell ref="A62:B62"/>
    <mergeCell ref="F61:H61"/>
    <mergeCell ref="A66:B66"/>
    <mergeCell ref="A1:H1"/>
    <mergeCell ref="G4:H4"/>
    <mergeCell ref="A63:B63"/>
    <mergeCell ref="A64:B64"/>
    <mergeCell ref="A65:B65"/>
    <mergeCell ref="A51:H51"/>
    <mergeCell ref="A2:H2"/>
    <mergeCell ref="A60:B60"/>
    <mergeCell ref="F53:H53"/>
    <mergeCell ref="A3:H3"/>
  </mergeCells>
  <printOptions horizontalCentered="1"/>
  <pageMargins left="0.47244094488189" right="0.196850393700787" top="0.5" bottom="0.5" header="0.196850393700787" footer="0.196850393700787"/>
  <pageSetup horizontalDpi="600" verticalDpi="600" orientation="landscape" paperSize="9" scale="85" r:id="rId2"/>
  <headerFooter>
    <oddFooter>&amp;RTrang &amp;P/&amp;N</oddFooter>
  </headerFooter>
  <rowBreaks count="1" manualBreakCount="1">
    <brk id="62" max="8" man="1"/>
  </rowBreaks>
  <colBreaks count="1" manualBreakCount="1">
    <brk id="9" max="50" man="1"/>
  </colBreaks>
  <drawing r:id="rId1"/>
</worksheet>
</file>

<file path=xl/worksheets/sheet7.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U19"/>
  <sheetViews>
    <sheetView zoomScalePageLayoutView="0" workbookViewId="0" topLeftCell="A4">
      <selection activeCell="AN15" sqref="AN15"/>
    </sheetView>
  </sheetViews>
  <sheetFormatPr defaultColWidth="25.421875" defaultRowHeight="12.75"/>
  <cols>
    <col min="1" max="1" width="5.140625" style="589" customWidth="1"/>
    <col min="2" max="2" width="54.421875" style="589" customWidth="1"/>
    <col min="3" max="3" width="10.57421875" style="589" customWidth="1"/>
    <col min="4" max="4" width="9.140625" style="589" customWidth="1"/>
    <col min="5" max="5" width="7.421875" style="596" customWidth="1"/>
    <col min="6" max="6" width="10.140625" style="589" customWidth="1"/>
    <col min="7" max="16" width="3.00390625" style="589" hidden="1" customWidth="1"/>
    <col min="17" max="18" width="4.00390625" style="589" hidden="1" customWidth="1"/>
    <col min="19" max="20" width="3.140625" style="589" hidden="1" customWidth="1"/>
    <col min="21" max="21" width="4.00390625" style="589" hidden="1" customWidth="1"/>
    <col min="22" max="23" width="3.140625" style="589" hidden="1" customWidth="1"/>
    <col min="24" max="24" width="4.421875" style="589" hidden="1" customWidth="1"/>
    <col min="25" max="25" width="3.140625" style="589" hidden="1" customWidth="1"/>
    <col min="26" max="26" width="5.00390625" style="589" hidden="1" customWidth="1"/>
    <col min="27" max="28" width="3.140625" style="589" hidden="1" customWidth="1"/>
    <col min="29" max="29" width="4.00390625" style="589" hidden="1" customWidth="1"/>
    <col min="30" max="30" width="4.140625" style="589" hidden="1" customWidth="1"/>
    <col min="31" max="32" width="3.421875" style="589" hidden="1" customWidth="1"/>
    <col min="33" max="34" width="4.140625" style="589" hidden="1" customWidth="1"/>
    <col min="35" max="35" width="0.5625" style="589" hidden="1" customWidth="1"/>
    <col min="36" max="36" width="1.8515625" style="589" hidden="1" customWidth="1"/>
    <col min="37" max="37" width="2.421875" style="589" hidden="1" customWidth="1"/>
    <col min="38" max="39" width="8.57421875" style="597" customWidth="1"/>
    <col min="40" max="40" width="16.57421875" style="597" customWidth="1"/>
    <col min="41" max="41" width="21.57421875" style="597" bestFit="1" customWidth="1"/>
    <col min="42" max="16384" width="25.421875" style="589" customWidth="1"/>
  </cols>
  <sheetData>
    <row r="1" spans="1:41" ht="25.5">
      <c r="A1" s="654" t="s">
        <v>441</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row>
    <row r="2" spans="1:41" ht="18.75" hidden="1">
      <c r="A2" s="590"/>
      <c r="B2" s="655" t="s">
        <v>1340</v>
      </c>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row>
    <row r="3" spans="1:41" ht="18.75" customHeight="1" hidden="1">
      <c r="A3" s="590"/>
      <c r="B3" s="591" t="s">
        <v>1341</v>
      </c>
      <c r="C3" s="592"/>
      <c r="D3" s="593"/>
      <c r="E3" s="592"/>
      <c r="F3" s="592"/>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4"/>
      <c r="AM3" s="594"/>
      <c r="AN3" s="594"/>
      <c r="AO3" s="594"/>
    </row>
    <row r="4" spans="1:41" ht="18.75" customHeight="1" thickBot="1">
      <c r="A4" s="648" t="str">
        <f>+'TM IN'!A2:H2</f>
        <v>CÔNG TRÌNH: XÂY DỰNG ĐIỂM DU LỊCH VĂN HÓA LẦU ÔNG HOÀNG</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row>
    <row r="5" spans="1:41" ht="16.5" thickTop="1">
      <c r="A5" s="656" t="s">
        <v>1342</v>
      </c>
      <c r="B5" s="650" t="s">
        <v>1343</v>
      </c>
      <c r="C5" s="650" t="s">
        <v>1344</v>
      </c>
      <c r="D5" s="647" t="s">
        <v>1345</v>
      </c>
      <c r="E5" s="659"/>
      <c r="F5" s="659"/>
      <c r="G5" s="647" t="s">
        <v>1346</v>
      </c>
      <c r="H5" s="647"/>
      <c r="I5" s="647"/>
      <c r="J5" s="647"/>
      <c r="K5" s="647"/>
      <c r="L5" s="647"/>
      <c r="M5" s="647"/>
      <c r="N5" s="647"/>
      <c r="O5" s="647"/>
      <c r="P5" s="647"/>
      <c r="Q5" s="649" t="s">
        <v>1347</v>
      </c>
      <c r="R5" s="649"/>
      <c r="S5" s="649"/>
      <c r="T5" s="649"/>
      <c r="U5" s="649"/>
      <c r="V5" s="649"/>
      <c r="W5" s="649"/>
      <c r="X5" s="649"/>
      <c r="Y5" s="649"/>
      <c r="Z5" s="649"/>
      <c r="AA5" s="649"/>
      <c r="AB5" s="649"/>
      <c r="AC5" s="647" t="s">
        <v>1348</v>
      </c>
      <c r="AD5" s="647"/>
      <c r="AE5" s="647"/>
      <c r="AF5" s="647"/>
      <c r="AG5" s="647"/>
      <c r="AH5" s="647"/>
      <c r="AI5" s="647"/>
      <c r="AJ5" s="647"/>
      <c r="AK5" s="598"/>
      <c r="AL5" s="650" t="s">
        <v>1349</v>
      </c>
      <c r="AM5" s="650" t="s">
        <v>1350</v>
      </c>
      <c r="AN5" s="650" t="s">
        <v>1351</v>
      </c>
      <c r="AO5" s="652" t="s">
        <v>355</v>
      </c>
    </row>
    <row r="6" spans="1:41" ht="27">
      <c r="A6" s="657"/>
      <c r="B6" s="658"/>
      <c r="C6" s="658"/>
      <c r="D6" s="599" t="s">
        <v>1352</v>
      </c>
      <c r="E6" s="599" t="s">
        <v>1353</v>
      </c>
      <c r="F6" s="599" t="s">
        <v>1354</v>
      </c>
      <c r="G6" s="600" t="s">
        <v>1355</v>
      </c>
      <c r="H6" s="600" t="s">
        <v>1356</v>
      </c>
      <c r="I6" s="600" t="s">
        <v>1357</v>
      </c>
      <c r="J6" s="600" t="s">
        <v>1358</v>
      </c>
      <c r="K6" s="600" t="s">
        <v>1359</v>
      </c>
      <c r="L6" s="600" t="s">
        <v>1360</v>
      </c>
      <c r="M6" s="600" t="s">
        <v>1361</v>
      </c>
      <c r="N6" s="600" t="s">
        <v>1362</v>
      </c>
      <c r="O6" s="600" t="s">
        <v>1363</v>
      </c>
      <c r="P6" s="600" t="s">
        <v>1364</v>
      </c>
      <c r="Q6" s="601" t="s">
        <v>1365</v>
      </c>
      <c r="R6" s="601" t="s">
        <v>1366</v>
      </c>
      <c r="S6" s="601" t="s">
        <v>1367</v>
      </c>
      <c r="T6" s="601" t="s">
        <v>1368</v>
      </c>
      <c r="U6" s="601" t="s">
        <v>1369</v>
      </c>
      <c r="V6" s="601" t="s">
        <v>1370</v>
      </c>
      <c r="W6" s="601" t="s">
        <v>1371</v>
      </c>
      <c r="X6" s="601" t="s">
        <v>1372</v>
      </c>
      <c r="Y6" s="601" t="s">
        <v>1373</v>
      </c>
      <c r="Z6" s="601" t="s">
        <v>1374</v>
      </c>
      <c r="AA6" s="601" t="s">
        <v>1375</v>
      </c>
      <c r="AB6" s="601" t="s">
        <v>1376</v>
      </c>
      <c r="AC6" s="602" t="s">
        <v>1377</v>
      </c>
      <c r="AD6" s="602" t="s">
        <v>1378</v>
      </c>
      <c r="AE6" s="602" t="s">
        <v>1379</v>
      </c>
      <c r="AF6" s="602" t="s">
        <v>1380</v>
      </c>
      <c r="AG6" s="602" t="s">
        <v>1381</v>
      </c>
      <c r="AH6" s="602" t="s">
        <v>1382</v>
      </c>
      <c r="AI6" s="602" t="s">
        <v>1383</v>
      </c>
      <c r="AJ6" s="602" t="s">
        <v>1384</v>
      </c>
      <c r="AK6" s="602" t="s">
        <v>1385</v>
      </c>
      <c r="AL6" s="651"/>
      <c r="AM6" s="651"/>
      <c r="AN6" s="651"/>
      <c r="AO6" s="653"/>
    </row>
    <row r="7" spans="1:41" ht="31.5">
      <c r="A7" s="603">
        <v>1</v>
      </c>
      <c r="B7" s="604" t="s">
        <v>1388</v>
      </c>
      <c r="C7" s="605" t="s">
        <v>1389</v>
      </c>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t="s">
        <v>1387</v>
      </c>
      <c r="AM7" s="482">
        <v>1</v>
      </c>
      <c r="AN7" s="606">
        <v>18600120</v>
      </c>
      <c r="AO7" s="607">
        <f aca="true" t="shared" si="0" ref="AO7:AO16">AN7*AM7</f>
        <v>18600120</v>
      </c>
    </row>
    <row r="8" spans="1:41" ht="15.75">
      <c r="A8" s="603">
        <v>2</v>
      </c>
      <c r="B8" s="608" t="s">
        <v>1390</v>
      </c>
      <c r="C8" s="609"/>
      <c r="D8" s="489">
        <v>914</v>
      </c>
      <c r="E8" s="489">
        <v>450</v>
      </c>
      <c r="F8" s="489">
        <v>1981</v>
      </c>
      <c r="G8" s="489"/>
      <c r="H8" s="489"/>
      <c r="I8" s="489"/>
      <c r="J8" s="489"/>
      <c r="K8" s="489"/>
      <c r="L8" s="489"/>
      <c r="M8" s="489">
        <v>78</v>
      </c>
      <c r="N8" s="489"/>
      <c r="O8" s="489">
        <v>2</v>
      </c>
      <c r="P8" s="489">
        <v>10</v>
      </c>
      <c r="Q8" s="489"/>
      <c r="R8" s="489"/>
      <c r="S8" s="489"/>
      <c r="T8" s="489"/>
      <c r="U8" s="489"/>
      <c r="V8" s="489"/>
      <c r="W8" s="489"/>
      <c r="X8" s="489">
        <v>70</v>
      </c>
      <c r="Y8" s="489"/>
      <c r="Z8" s="489"/>
      <c r="AA8" s="489"/>
      <c r="AB8" s="489"/>
      <c r="AC8" s="489"/>
      <c r="AD8" s="489"/>
      <c r="AE8" s="489"/>
      <c r="AF8" s="489"/>
      <c r="AG8" s="489">
        <v>20</v>
      </c>
      <c r="AH8" s="489">
        <v>18</v>
      </c>
      <c r="AI8" s="489">
        <v>117</v>
      </c>
      <c r="AJ8" s="489"/>
      <c r="AK8" s="489"/>
      <c r="AL8" s="489" t="s">
        <v>1386</v>
      </c>
      <c r="AM8" s="489">
        <v>15</v>
      </c>
      <c r="AN8" s="610">
        <v>2932949</v>
      </c>
      <c r="AO8" s="611">
        <f t="shared" si="0"/>
        <v>43994235</v>
      </c>
    </row>
    <row r="9" spans="1:41" ht="15.75">
      <c r="A9" s="603">
        <v>3</v>
      </c>
      <c r="B9" s="608" t="s">
        <v>1391</v>
      </c>
      <c r="C9" s="609"/>
      <c r="D9" s="489">
        <v>914</v>
      </c>
      <c r="E9" s="489">
        <v>250</v>
      </c>
      <c r="F9" s="489">
        <v>1981</v>
      </c>
      <c r="G9" s="489"/>
      <c r="H9" s="489"/>
      <c r="I9" s="489"/>
      <c r="J9" s="489"/>
      <c r="K9" s="489"/>
      <c r="L9" s="489"/>
      <c r="M9" s="489">
        <v>6</v>
      </c>
      <c r="N9" s="489"/>
      <c r="O9" s="489"/>
      <c r="P9" s="489"/>
      <c r="Q9" s="489"/>
      <c r="R9" s="489"/>
      <c r="S9" s="489"/>
      <c r="T9" s="489"/>
      <c r="U9" s="489"/>
      <c r="V9" s="489"/>
      <c r="W9" s="489"/>
      <c r="X9" s="489">
        <v>20</v>
      </c>
      <c r="Y9" s="489"/>
      <c r="Z9" s="489"/>
      <c r="AA9" s="489"/>
      <c r="AB9" s="489"/>
      <c r="AC9" s="489"/>
      <c r="AD9" s="489"/>
      <c r="AE9" s="489"/>
      <c r="AF9" s="489"/>
      <c r="AG9" s="489"/>
      <c r="AH9" s="489"/>
      <c r="AI9" s="489"/>
      <c r="AJ9" s="489"/>
      <c r="AK9" s="489"/>
      <c r="AL9" s="489" t="s">
        <v>1386</v>
      </c>
      <c r="AM9" s="489">
        <v>5</v>
      </c>
      <c r="AN9" s="610">
        <v>2830039</v>
      </c>
      <c r="AO9" s="611">
        <f t="shared" si="0"/>
        <v>14150195</v>
      </c>
    </row>
    <row r="10" spans="1:41" ht="15.75">
      <c r="A10" s="603">
        <v>4</v>
      </c>
      <c r="B10" s="608" t="s">
        <v>1392</v>
      </c>
      <c r="C10" s="612"/>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t="s">
        <v>1386</v>
      </c>
      <c r="AM10" s="489">
        <v>2</v>
      </c>
      <c r="AN10" s="610">
        <v>1097712</v>
      </c>
      <c r="AO10" s="611">
        <f t="shared" si="0"/>
        <v>2195424</v>
      </c>
    </row>
    <row r="11" spans="1:41" ht="15.75">
      <c r="A11" s="603">
        <v>5</v>
      </c>
      <c r="B11" s="608" t="s">
        <v>1393</v>
      </c>
      <c r="C11" s="612"/>
      <c r="D11" s="489">
        <v>800</v>
      </c>
      <c r="E11" s="489">
        <v>450</v>
      </c>
      <c r="F11" s="489">
        <v>1830</v>
      </c>
      <c r="G11" s="489"/>
      <c r="H11" s="489">
        <v>1</v>
      </c>
      <c r="I11" s="489">
        <v>2</v>
      </c>
      <c r="J11" s="489"/>
      <c r="K11" s="489"/>
      <c r="L11" s="489"/>
      <c r="M11" s="489"/>
      <c r="N11" s="489"/>
      <c r="O11" s="489">
        <v>2</v>
      </c>
      <c r="P11" s="489">
        <v>6</v>
      </c>
      <c r="Q11" s="489"/>
      <c r="R11" s="489"/>
      <c r="S11" s="489"/>
      <c r="T11" s="489"/>
      <c r="U11" s="489">
        <v>12</v>
      </c>
      <c r="V11" s="489">
        <v>2</v>
      </c>
      <c r="W11" s="489">
        <v>4</v>
      </c>
      <c r="X11" s="489"/>
      <c r="Y11" s="489"/>
      <c r="Z11" s="489"/>
      <c r="AA11" s="489">
        <v>2</v>
      </c>
      <c r="AB11" s="489">
        <v>1</v>
      </c>
      <c r="AC11" s="489"/>
      <c r="AD11" s="489"/>
      <c r="AE11" s="489"/>
      <c r="AF11" s="489"/>
      <c r="AG11" s="489"/>
      <c r="AH11" s="489"/>
      <c r="AI11" s="489"/>
      <c r="AJ11" s="489"/>
      <c r="AK11" s="489">
        <v>2</v>
      </c>
      <c r="AL11" s="489" t="s">
        <v>1386</v>
      </c>
      <c r="AM11" s="489">
        <v>2</v>
      </c>
      <c r="AN11" s="610">
        <v>2504156</v>
      </c>
      <c r="AO11" s="611">
        <f t="shared" si="0"/>
        <v>5008312</v>
      </c>
    </row>
    <row r="12" spans="1:41" ht="15.75" customHeight="1">
      <c r="A12" s="603">
        <v>6</v>
      </c>
      <c r="B12" s="608" t="s">
        <v>1394</v>
      </c>
      <c r="C12" s="613"/>
      <c r="D12" s="614">
        <v>1400</v>
      </c>
      <c r="E12" s="614">
        <v>700</v>
      </c>
      <c r="F12" s="614">
        <v>750</v>
      </c>
      <c r="G12" s="489"/>
      <c r="H12" s="489">
        <v>1</v>
      </c>
      <c r="I12" s="489"/>
      <c r="J12" s="489"/>
      <c r="K12" s="489"/>
      <c r="L12" s="489"/>
      <c r="M12" s="489"/>
      <c r="N12" s="489"/>
      <c r="O12" s="489"/>
      <c r="P12" s="489"/>
      <c r="Q12" s="489"/>
      <c r="R12" s="489">
        <v>6</v>
      </c>
      <c r="S12" s="489"/>
      <c r="T12" s="489"/>
      <c r="U12" s="489"/>
      <c r="V12" s="489"/>
      <c r="W12" s="489"/>
      <c r="X12" s="489"/>
      <c r="Y12" s="489"/>
      <c r="Z12" s="489"/>
      <c r="AA12" s="489">
        <v>4</v>
      </c>
      <c r="AB12" s="489">
        <v>2</v>
      </c>
      <c r="AC12" s="489"/>
      <c r="AD12" s="489"/>
      <c r="AE12" s="489"/>
      <c r="AF12" s="489"/>
      <c r="AG12" s="489"/>
      <c r="AH12" s="489"/>
      <c r="AI12" s="489"/>
      <c r="AJ12" s="489"/>
      <c r="AK12" s="489">
        <v>3</v>
      </c>
      <c r="AL12" s="489" t="s">
        <v>1387</v>
      </c>
      <c r="AM12" s="489">
        <v>2</v>
      </c>
      <c r="AN12" s="610">
        <v>1423595</v>
      </c>
      <c r="AO12" s="611">
        <f t="shared" si="0"/>
        <v>2847190</v>
      </c>
    </row>
    <row r="13" spans="1:41" ht="15.75" customHeight="1">
      <c r="A13" s="603">
        <v>7</v>
      </c>
      <c r="B13" s="608" t="s">
        <v>1395</v>
      </c>
      <c r="C13" s="615"/>
      <c r="D13" s="489"/>
      <c r="E13" s="489"/>
      <c r="F13" s="489"/>
      <c r="G13" s="489"/>
      <c r="H13" s="489"/>
      <c r="I13" s="489"/>
      <c r="J13" s="489"/>
      <c r="K13" s="489">
        <v>1</v>
      </c>
      <c r="L13" s="489"/>
      <c r="M13" s="489">
        <v>1</v>
      </c>
      <c r="N13" s="489">
        <v>1</v>
      </c>
      <c r="O13" s="489"/>
      <c r="P13" s="489">
        <v>1</v>
      </c>
      <c r="Q13" s="489"/>
      <c r="R13" s="489"/>
      <c r="S13" s="489"/>
      <c r="T13" s="489"/>
      <c r="U13" s="489"/>
      <c r="V13" s="489"/>
      <c r="W13" s="489"/>
      <c r="X13" s="489"/>
      <c r="Y13" s="489"/>
      <c r="Z13" s="489">
        <v>1</v>
      </c>
      <c r="AA13" s="489"/>
      <c r="AB13" s="489"/>
      <c r="AC13" s="489"/>
      <c r="AD13" s="489"/>
      <c r="AE13" s="489"/>
      <c r="AF13" s="489"/>
      <c r="AG13" s="489">
        <v>1</v>
      </c>
      <c r="AH13" s="489"/>
      <c r="AI13" s="489"/>
      <c r="AJ13" s="489"/>
      <c r="AK13" s="489"/>
      <c r="AL13" s="614" t="s">
        <v>1386</v>
      </c>
      <c r="AM13" s="614">
        <v>1</v>
      </c>
      <c r="AN13" s="610">
        <v>5221755</v>
      </c>
      <c r="AO13" s="611">
        <f t="shared" si="0"/>
        <v>5221755</v>
      </c>
    </row>
    <row r="14" spans="1:41" ht="47.25">
      <c r="A14" s="603">
        <v>8</v>
      </c>
      <c r="B14" s="616" t="s">
        <v>1396</v>
      </c>
      <c r="C14" s="605" t="s">
        <v>1397</v>
      </c>
      <c r="D14" s="482"/>
      <c r="E14" s="482"/>
      <c r="F14" s="482"/>
      <c r="G14" s="482"/>
      <c r="H14" s="482"/>
      <c r="I14" s="482"/>
      <c r="J14" s="482"/>
      <c r="K14" s="482"/>
      <c r="L14" s="482">
        <v>1</v>
      </c>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617" t="s">
        <v>1387</v>
      </c>
      <c r="AM14" s="617">
        <v>1</v>
      </c>
      <c r="AN14" s="606">
        <v>17325000</v>
      </c>
      <c r="AO14" s="607">
        <f t="shared" si="0"/>
        <v>17325000</v>
      </c>
    </row>
    <row r="15" spans="1:41" ht="15.75">
      <c r="A15" s="603">
        <v>9</v>
      </c>
      <c r="B15" s="616" t="s">
        <v>1402</v>
      </c>
      <c r="C15" s="605"/>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617" t="s">
        <v>1403</v>
      </c>
      <c r="AM15" s="617">
        <v>1</v>
      </c>
      <c r="AN15" s="606">
        <v>30000000</v>
      </c>
      <c r="AO15" s="607">
        <f t="shared" si="0"/>
        <v>30000000</v>
      </c>
    </row>
    <row r="16" spans="1:41" ht="47.25">
      <c r="A16" s="603">
        <v>10</v>
      </c>
      <c r="B16" s="616" t="s">
        <v>1399</v>
      </c>
      <c r="C16" s="605" t="s">
        <v>1400</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617" t="s">
        <v>1387</v>
      </c>
      <c r="AM16" s="617">
        <v>6</v>
      </c>
      <c r="AN16" s="606">
        <v>54000000</v>
      </c>
      <c r="AO16" s="607">
        <f t="shared" si="0"/>
        <v>324000000</v>
      </c>
    </row>
    <row r="17" spans="1:41" ht="19.5" customHeight="1" thickBot="1">
      <c r="A17" s="618"/>
      <c r="B17" s="619" t="s">
        <v>1398</v>
      </c>
      <c r="C17" s="620"/>
      <c r="D17" s="621"/>
      <c r="E17" s="621"/>
      <c r="F17" s="621"/>
      <c r="G17" s="622"/>
      <c r="H17" s="622"/>
      <c r="I17" s="622"/>
      <c r="J17" s="622"/>
      <c r="K17" s="622"/>
      <c r="L17" s="622"/>
      <c r="M17" s="622"/>
      <c r="N17" s="622"/>
      <c r="O17" s="622"/>
      <c r="P17" s="622"/>
      <c r="Q17" s="623"/>
      <c r="R17" s="623"/>
      <c r="S17" s="623"/>
      <c r="T17" s="623"/>
      <c r="U17" s="623"/>
      <c r="V17" s="623"/>
      <c r="W17" s="623"/>
      <c r="X17" s="623"/>
      <c r="Y17" s="623"/>
      <c r="Z17" s="623"/>
      <c r="AA17" s="623"/>
      <c r="AB17" s="623"/>
      <c r="AC17" s="624"/>
      <c r="AD17" s="624"/>
      <c r="AE17" s="624"/>
      <c r="AF17" s="624"/>
      <c r="AG17" s="624"/>
      <c r="AH17" s="624"/>
      <c r="AI17" s="624"/>
      <c r="AJ17" s="624"/>
      <c r="AK17" s="624"/>
      <c r="AL17" s="621"/>
      <c r="AM17" s="621"/>
      <c r="AN17" s="625"/>
      <c r="AO17" s="626">
        <f>SUM(AO7:AO16)</f>
        <v>463342231</v>
      </c>
    </row>
    <row r="18" spans="5:41" ht="13.5" thickTop="1">
      <c r="E18" s="589"/>
      <c r="AL18" s="589"/>
      <c r="AM18" s="589"/>
      <c r="AN18" s="589"/>
      <c r="AO18" s="589"/>
    </row>
    <row r="19" spans="5:125" ht="12.75">
      <c r="E19" s="589"/>
      <c r="AL19" s="589"/>
      <c r="AM19" s="589"/>
      <c r="AN19" s="589"/>
      <c r="AO19" s="589"/>
      <c r="DU19" s="595"/>
    </row>
  </sheetData>
  <sheetProtection/>
  <mergeCells count="14">
    <mergeCell ref="A1:AO1"/>
    <mergeCell ref="B2:AO2"/>
    <mergeCell ref="A5:A6"/>
    <mergeCell ref="B5:B6"/>
    <mergeCell ref="C5:C6"/>
    <mergeCell ref="D5:F5"/>
    <mergeCell ref="G5:P5"/>
    <mergeCell ref="A4:AO4"/>
    <mergeCell ref="Q5:AB5"/>
    <mergeCell ref="AC5:AJ5"/>
    <mergeCell ref="AL5:AL6"/>
    <mergeCell ref="AM5:AM6"/>
    <mergeCell ref="AN5:AN6"/>
    <mergeCell ref="AO5:AO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Q72"/>
  <sheetViews>
    <sheetView zoomScalePageLayoutView="0" workbookViewId="0" topLeftCell="A28">
      <selection activeCell="C39" sqref="C39"/>
    </sheetView>
  </sheetViews>
  <sheetFormatPr defaultColWidth="11.421875" defaultRowHeight="12.75"/>
  <cols>
    <col min="1" max="1" width="6.57421875" style="240" customWidth="1"/>
    <col min="2" max="2" width="33.00390625" style="240" customWidth="1"/>
    <col min="3" max="3" width="16.421875" style="240" customWidth="1"/>
    <col min="4" max="4" width="16.8515625" style="240" customWidth="1"/>
    <col min="5" max="5" width="17.140625" style="240" customWidth="1"/>
    <col min="6" max="6" width="16.421875" style="240" customWidth="1"/>
    <col min="7" max="7" width="15.00390625" style="240" customWidth="1"/>
    <col min="8" max="8" width="4.57421875" style="240" bestFit="1" customWidth="1"/>
    <col min="9" max="9" width="35.57421875" style="240" bestFit="1" customWidth="1"/>
    <col min="10" max="10" width="10.421875" style="240" bestFit="1" customWidth="1"/>
    <col min="11" max="12" width="10.8515625" style="240" bestFit="1" customWidth="1"/>
    <col min="13" max="13" width="13.140625" style="240" bestFit="1" customWidth="1"/>
    <col min="14" max="14" width="15.00390625" style="240" bestFit="1" customWidth="1"/>
    <col min="15" max="15" width="10.8515625" style="240" bestFit="1" customWidth="1"/>
    <col min="16" max="16" width="13.140625" style="240" bestFit="1" customWidth="1"/>
    <col min="17" max="17" width="12.57421875" style="240" customWidth="1"/>
    <col min="18" max="16384" width="11.421875" style="240" customWidth="1"/>
  </cols>
  <sheetData>
    <row r="1" spans="1:13" s="238" customFormat="1" ht="18" customHeight="1" hidden="1">
      <c r="A1" s="660" t="s">
        <v>330</v>
      </c>
      <c r="B1" s="661"/>
      <c r="C1" s="661"/>
      <c r="D1" s="661"/>
      <c r="E1" s="661"/>
      <c r="F1" s="662"/>
      <c r="G1" s="235"/>
      <c r="H1" s="236" t="s">
        <v>331</v>
      </c>
      <c r="I1" s="237"/>
      <c r="J1" s="237"/>
      <c r="K1" s="237"/>
      <c r="L1" s="237"/>
      <c r="M1" s="237"/>
    </row>
    <row r="2" spans="1:7" ht="28.5" customHeight="1" hidden="1">
      <c r="A2" s="663" t="s">
        <v>332</v>
      </c>
      <c r="B2" s="664"/>
      <c r="C2" s="664"/>
      <c r="D2" s="664"/>
      <c r="E2" s="664"/>
      <c r="F2" s="665"/>
      <c r="G2" s="239"/>
    </row>
    <row r="3" ht="18.75"/>
    <row r="4" spans="1:17" ht="24.75" customHeight="1">
      <c r="A4" s="666" t="s">
        <v>333</v>
      </c>
      <c r="B4" s="666"/>
      <c r="C4" s="666"/>
      <c r="D4" s="666"/>
      <c r="E4" s="666"/>
      <c r="F4" s="666"/>
      <c r="H4" s="241"/>
      <c r="I4" s="242" t="s">
        <v>334</v>
      </c>
      <c r="J4" s="243" t="s">
        <v>335</v>
      </c>
      <c r="K4" s="243" t="s">
        <v>336</v>
      </c>
      <c r="L4" s="243" t="s">
        <v>337</v>
      </c>
      <c r="M4" s="243" t="s">
        <v>338</v>
      </c>
      <c r="N4" s="243" t="s">
        <v>339</v>
      </c>
      <c r="O4" s="243" t="s">
        <v>337</v>
      </c>
      <c r="P4" s="243" t="s">
        <v>338</v>
      </c>
      <c r="Q4" s="243" t="s">
        <v>339</v>
      </c>
    </row>
    <row r="5" spans="1:17" s="244" customFormat="1" ht="8.25" customHeight="1">
      <c r="A5" s="667"/>
      <c r="B5" s="667"/>
      <c r="C5" s="667"/>
      <c r="D5" s="667"/>
      <c r="E5" s="667"/>
      <c r="F5" s="667"/>
      <c r="H5" s="668"/>
      <c r="I5" s="676"/>
      <c r="J5" s="670" t="s">
        <v>340</v>
      </c>
      <c r="K5" s="670" t="s">
        <v>341</v>
      </c>
      <c r="L5" s="670" t="str">
        <f>INDEX($O$5:$Q$5,,MATCH(L$4,$O$4:$Q$4,0))</f>
        <v>07/QĐ-SXD ngày 14/01/2015 của Sở Xây dựng tỉnh Bình Thuận. (Chỉ số giá xây dựng năm/2014);</v>
      </c>
      <c r="M5" s="670" t="str">
        <f>INDEX($O$5:$Q$5,,MATCH(M$4,$O$4:$Q$4,0))</f>
        <v>11/QĐ-SXD ngày 13/01/2016 của Sở Xây dựng tỉnh Bình Thuận. (Chỉ số giá xây dựng năm/2015);</v>
      </c>
      <c r="N5" s="670" t="str">
        <f>INDEX($O$5:$Q$5,,MATCH(N$4,$O$4:$Q$4,0))</f>
        <v>119/QĐ-SXD ngày 18/10/2016 của Sở Xây dựng tỉnh Bình Thuận. (Chỉ số giá xây dựng tháng 9 và quý III năm 2016);</v>
      </c>
      <c r="O5" s="670" t="s">
        <v>342</v>
      </c>
      <c r="P5" s="670" t="s">
        <v>343</v>
      </c>
      <c r="Q5" s="670" t="s">
        <v>1207</v>
      </c>
    </row>
    <row r="6" spans="1:17" s="246" customFormat="1" ht="21.75" customHeight="1">
      <c r="A6" s="245" t="s">
        <v>344</v>
      </c>
      <c r="C6" s="247"/>
      <c r="D6" s="247"/>
      <c r="E6" s="247"/>
      <c r="F6" s="247"/>
      <c r="H6" s="668"/>
      <c r="I6" s="677"/>
      <c r="J6" s="671"/>
      <c r="K6" s="671"/>
      <c r="L6" s="671"/>
      <c r="M6" s="671"/>
      <c r="N6" s="671"/>
      <c r="O6" s="671"/>
      <c r="P6" s="671"/>
      <c r="Q6" s="671"/>
    </row>
    <row r="7" spans="1:17" s="249" customFormat="1" ht="31.5" customHeight="1">
      <c r="A7" s="673" t="s">
        <v>345</v>
      </c>
      <c r="B7" s="673"/>
      <c r="C7" s="673"/>
      <c r="D7" s="673"/>
      <c r="E7" s="673"/>
      <c r="F7" s="673"/>
      <c r="H7" s="668"/>
      <c r="I7" s="677"/>
      <c r="J7" s="671"/>
      <c r="K7" s="671"/>
      <c r="L7" s="671"/>
      <c r="M7" s="671"/>
      <c r="N7" s="671"/>
      <c r="O7" s="671"/>
      <c r="P7" s="671"/>
      <c r="Q7" s="671"/>
    </row>
    <row r="8" spans="1:17" s="249" customFormat="1" ht="31.5" customHeight="1">
      <c r="A8" s="673" t="str">
        <f>"- Chỉ số giá xây dựng năm "&amp;$C$43&amp;" công bố theo Quyết định số "&amp;INDEX($J$5:$M$5,,MATCH($C$43,$J$9:$M$9,0))</f>
        <v>- Chỉ số giá xây dựng năm 2013 công bố theo Quyết định số 06/QĐ-SXD ngày 13/01/2014 của Sở Xây dựng tỉnh Bình Thuận. (Chỉ số giá xây dựng năm/2013);</v>
      </c>
      <c r="B8" s="673"/>
      <c r="C8" s="673"/>
      <c r="D8" s="673"/>
      <c r="E8" s="673"/>
      <c r="F8" s="673"/>
      <c r="H8" s="669"/>
      <c r="I8" s="678"/>
      <c r="J8" s="672"/>
      <c r="K8" s="672"/>
      <c r="L8" s="672"/>
      <c r="M8" s="672"/>
      <c r="N8" s="672"/>
      <c r="O8" s="672"/>
      <c r="P8" s="672"/>
      <c r="Q8" s="672"/>
    </row>
    <row r="9" spans="1:17" s="249" customFormat="1" ht="31.5" customHeight="1">
      <c r="A9" s="673" t="str">
        <f>"- Chỉ số giá xây dựng năm "&amp;$D$43&amp;" công bố theo Quyết định số "&amp;INDEX($J$5:$M$5,,MATCH($D$43,$J$9:$M$9,0))</f>
        <v>- Chỉ số giá xây dựng năm 2014 công bố theo Quyết định số 07/QĐ-SXD ngày 14/01/2015 của Sở Xây dựng tỉnh Bình Thuận. (Chỉ số giá xây dựng năm/2014);</v>
      </c>
      <c r="B9" s="673"/>
      <c r="C9" s="673"/>
      <c r="D9" s="673"/>
      <c r="E9" s="673"/>
      <c r="F9" s="673"/>
      <c r="H9" s="250" t="s">
        <v>1</v>
      </c>
      <c r="I9" s="251" t="s">
        <v>346</v>
      </c>
      <c r="J9" s="250">
        <v>2012</v>
      </c>
      <c r="K9" s="250">
        <v>2013</v>
      </c>
      <c r="L9" s="250">
        <v>2014</v>
      </c>
      <c r="M9" s="250">
        <f>INDEX($O$9:$Q$39,,MATCH(M$4,$O$4:$Q$4,0))</f>
        <v>2015</v>
      </c>
      <c r="N9" s="252">
        <v>2016</v>
      </c>
      <c r="O9" s="250">
        <v>2014</v>
      </c>
      <c r="P9" s="250">
        <v>2015</v>
      </c>
      <c r="Q9" s="252">
        <v>2016</v>
      </c>
    </row>
    <row r="10" spans="1:17" s="249" customFormat="1" ht="31.5" customHeight="1">
      <c r="A10" s="673" t="str">
        <f>"- Chỉ số giá xây dựng năm "&amp;$E$43&amp;" công bố theo Quyết định số "&amp;INDEX($J$5:$M$5,,MATCH($E$43,$J$9:$M$9,0))</f>
        <v>- Chỉ số giá xây dựng năm 2015 công bố theo Quyết định số 11/QĐ-SXD ngày 13/01/2016 của Sở Xây dựng tỉnh Bình Thuận. (Chỉ số giá xây dựng năm/2015);</v>
      </c>
      <c r="B10" s="673"/>
      <c r="C10" s="673"/>
      <c r="D10" s="673"/>
      <c r="E10" s="673"/>
      <c r="F10" s="673"/>
      <c r="H10" s="253"/>
      <c r="I10" s="254" t="s">
        <v>347</v>
      </c>
      <c r="J10" s="253" t="s">
        <v>348</v>
      </c>
      <c r="K10" s="253" t="s">
        <v>348</v>
      </c>
      <c r="L10" s="253" t="s">
        <v>348</v>
      </c>
      <c r="M10" s="255" t="str">
        <f>INDEX($O$9:$Q$39,,MATCH(M$4,$O$4:$Q$4,0))</f>
        <v>2011=100</v>
      </c>
      <c r="N10" s="255" t="s">
        <v>348</v>
      </c>
      <c r="O10" s="255" t="s">
        <v>348</v>
      </c>
      <c r="P10" s="255" t="s">
        <v>348</v>
      </c>
      <c r="Q10" s="255" t="s">
        <v>349</v>
      </c>
    </row>
    <row r="11" spans="1:17" s="249" customFormat="1" ht="31.5" customHeight="1">
      <c r="A11" s="673" t="str">
        <f>"- Chỉ số giá xây dựng năm "&amp;$F$43&amp;" công bố theo Quyết định số "&amp;INDEX($J$5:$N$5,,MATCH($F$43,$J$9:$N$9,0))</f>
        <v>- Chỉ số giá xây dựng năm 2016 công bố theo Quyết định số 119/QĐ-SXD ngày 18/10/2016 của Sở Xây dựng tỉnh Bình Thuận. (Chỉ số giá xây dựng tháng 9 và quý III năm 2016);</v>
      </c>
      <c r="B11" s="673"/>
      <c r="C11" s="673"/>
      <c r="D11" s="673"/>
      <c r="E11" s="673"/>
      <c r="F11" s="673"/>
      <c r="H11" s="250" t="s">
        <v>9</v>
      </c>
      <c r="I11" s="256" t="s">
        <v>350</v>
      </c>
      <c r="J11" s="257"/>
      <c r="K11" s="258"/>
      <c r="L11" s="258"/>
      <c r="M11" s="259"/>
      <c r="N11" s="260"/>
      <c r="O11" s="259"/>
      <c r="P11" s="259"/>
      <c r="Q11" s="260"/>
    </row>
    <row r="12" spans="1:17" s="249" customFormat="1" ht="19.5" customHeight="1">
      <c r="A12" s="248"/>
      <c r="B12" s="248"/>
      <c r="C12" s="248"/>
      <c r="D12" s="248"/>
      <c r="E12" s="248"/>
      <c r="F12" s="248"/>
      <c r="H12" s="261">
        <v>1</v>
      </c>
      <c r="I12" s="262" t="s">
        <v>351</v>
      </c>
      <c r="J12" s="258">
        <v>109.34</v>
      </c>
      <c r="K12" s="258">
        <v>111.37</v>
      </c>
      <c r="L12" s="258">
        <v>118.46</v>
      </c>
      <c r="M12" s="258">
        <f aca="true" t="shared" si="0" ref="M12:M18">INDEX($O$9:$Q$39,,MATCH(M$4,$O$4:$Q$4,0))</f>
        <v>115.1</v>
      </c>
      <c r="N12" s="263">
        <v>116.63</v>
      </c>
      <c r="O12" s="258">
        <v>110.51</v>
      </c>
      <c r="P12" s="258">
        <v>115.1</v>
      </c>
      <c r="Q12" s="263">
        <v>116.63</v>
      </c>
    </row>
    <row r="13" spans="1:17" s="246" customFormat="1" ht="19.5" customHeight="1">
      <c r="A13" s="245" t="s">
        <v>352</v>
      </c>
      <c r="C13" s="247"/>
      <c r="D13" s="247"/>
      <c r="E13" s="247"/>
      <c r="F13" s="247"/>
      <c r="H13" s="261">
        <v>2</v>
      </c>
      <c r="I13" s="262" t="s">
        <v>353</v>
      </c>
      <c r="J13" s="258">
        <v>111.29</v>
      </c>
      <c r="K13" s="258">
        <v>114.24</v>
      </c>
      <c r="L13" s="258">
        <v>121.36</v>
      </c>
      <c r="M13" s="258">
        <f t="shared" si="0"/>
        <v>120.81</v>
      </c>
      <c r="N13" s="263">
        <v>122.5</v>
      </c>
      <c r="O13" s="258">
        <v>113.59</v>
      </c>
      <c r="P13" s="258">
        <v>120.81</v>
      </c>
      <c r="Q13" s="263">
        <v>122.5</v>
      </c>
    </row>
    <row r="14" spans="1:17" s="268" customFormat="1" ht="19.5" customHeight="1">
      <c r="A14" s="264" t="s">
        <v>1</v>
      </c>
      <c r="B14" s="265" t="s">
        <v>354</v>
      </c>
      <c r="C14" s="266" t="s">
        <v>310</v>
      </c>
      <c r="D14" s="674" t="s">
        <v>355</v>
      </c>
      <c r="E14" s="675"/>
      <c r="F14" s="266" t="s">
        <v>356</v>
      </c>
      <c r="G14" s="267"/>
      <c r="H14" s="261">
        <v>3</v>
      </c>
      <c r="I14" s="262" t="s">
        <v>332</v>
      </c>
      <c r="J14" s="258">
        <v>107.15</v>
      </c>
      <c r="K14" s="258">
        <v>109</v>
      </c>
      <c r="L14" s="258">
        <v>113.34</v>
      </c>
      <c r="M14" s="258">
        <f t="shared" si="0"/>
        <v>110.93</v>
      </c>
      <c r="N14" s="263">
        <v>112.82</v>
      </c>
      <c r="O14" s="258">
        <v>108.31</v>
      </c>
      <c r="P14" s="258">
        <v>110.93</v>
      </c>
      <c r="Q14" s="263">
        <v>112.82</v>
      </c>
    </row>
    <row r="15" spans="1:17" s="268" customFormat="1" ht="19.5" customHeight="1">
      <c r="A15" s="269">
        <v>1</v>
      </c>
      <c r="B15" s="270" t="s">
        <v>357</v>
      </c>
      <c r="C15" s="269" t="s">
        <v>358</v>
      </c>
      <c r="D15" s="679">
        <f>'TM IN'!H6</f>
        <v>11171652349</v>
      </c>
      <c r="E15" s="680"/>
      <c r="F15" s="271" t="s">
        <v>359</v>
      </c>
      <c r="G15" s="267"/>
      <c r="H15" s="261">
        <v>4</v>
      </c>
      <c r="I15" s="262" t="s">
        <v>360</v>
      </c>
      <c r="J15" s="258">
        <v>108.01</v>
      </c>
      <c r="K15" s="258">
        <v>109.51</v>
      </c>
      <c r="L15" s="258">
        <v>115.53</v>
      </c>
      <c r="M15" s="258">
        <f t="shared" si="0"/>
        <v>113.69</v>
      </c>
      <c r="N15" s="263">
        <v>115.88</v>
      </c>
      <c r="O15" s="258">
        <v>108.76</v>
      </c>
      <c r="P15" s="258">
        <v>113.69</v>
      </c>
      <c r="Q15" s="263">
        <v>115.88</v>
      </c>
    </row>
    <row r="16" spans="1:17" s="275" customFormat="1" ht="19.5" customHeight="1">
      <c r="A16" s="272">
        <v>2</v>
      </c>
      <c r="B16" s="273" t="s">
        <v>361</v>
      </c>
      <c r="C16" s="272" t="s">
        <v>362</v>
      </c>
      <c r="D16" s="681">
        <f>'TM IN'!H9</f>
        <v>0</v>
      </c>
      <c r="E16" s="682"/>
      <c r="F16" s="274" t="s">
        <v>359</v>
      </c>
      <c r="H16" s="276">
        <v>5</v>
      </c>
      <c r="I16" s="277" t="s">
        <v>363</v>
      </c>
      <c r="J16" s="278">
        <v>106.29</v>
      </c>
      <c r="K16" s="278">
        <v>107.29</v>
      </c>
      <c r="L16" s="278">
        <v>110.88</v>
      </c>
      <c r="M16" s="278">
        <f t="shared" si="0"/>
        <v>110.92</v>
      </c>
      <c r="N16" s="279">
        <v>112.76</v>
      </c>
      <c r="O16" s="278">
        <v>106.9</v>
      </c>
      <c r="P16" s="278">
        <v>110.92</v>
      </c>
      <c r="Q16" s="279">
        <v>112.76</v>
      </c>
    </row>
    <row r="17" spans="1:17" s="268" customFormat="1" ht="19.5" customHeight="1">
      <c r="A17" s="269">
        <v>3</v>
      </c>
      <c r="B17" s="270" t="s">
        <v>364</v>
      </c>
      <c r="C17" s="269" t="s">
        <v>365</v>
      </c>
      <c r="D17" s="679"/>
      <c r="E17" s="680"/>
      <c r="F17" s="271" t="s">
        <v>359</v>
      </c>
      <c r="H17" s="261">
        <v>6</v>
      </c>
      <c r="I17" s="262" t="s">
        <v>366</v>
      </c>
      <c r="J17" s="258">
        <v>105.89</v>
      </c>
      <c r="K17" s="258">
        <v>105.9</v>
      </c>
      <c r="L17" s="258">
        <v>111.26</v>
      </c>
      <c r="M17" s="258">
        <f t="shared" si="0"/>
        <v>108.16</v>
      </c>
      <c r="N17" s="263">
        <v>111</v>
      </c>
      <c r="O17" s="258">
        <v>104.82</v>
      </c>
      <c r="P17" s="258">
        <v>108.16</v>
      </c>
      <c r="Q17" s="263">
        <v>111</v>
      </c>
    </row>
    <row r="18" spans="1:17" s="268" customFormat="1" ht="19.5" customHeight="1">
      <c r="A18" s="269">
        <v>4</v>
      </c>
      <c r="B18" s="270" t="s">
        <v>367</v>
      </c>
      <c r="C18" s="269" t="s">
        <v>368</v>
      </c>
      <c r="D18" s="679">
        <f>'TM IN'!H10</f>
        <v>382347301</v>
      </c>
      <c r="E18" s="680"/>
      <c r="F18" s="271" t="s">
        <v>359</v>
      </c>
      <c r="H18" s="261">
        <v>7</v>
      </c>
      <c r="I18" s="262" t="s">
        <v>369</v>
      </c>
      <c r="J18" s="258">
        <v>105.83</v>
      </c>
      <c r="K18" s="258">
        <v>105.58</v>
      </c>
      <c r="L18" s="258">
        <v>109.48</v>
      </c>
      <c r="M18" s="258">
        <f t="shared" si="0"/>
        <v>107.29</v>
      </c>
      <c r="N18" s="263">
        <v>109.94</v>
      </c>
      <c r="O18" s="258">
        <v>104.98</v>
      </c>
      <c r="P18" s="258">
        <v>107.29</v>
      </c>
      <c r="Q18" s="263">
        <v>109.94</v>
      </c>
    </row>
    <row r="19" spans="1:17" s="268" customFormat="1" ht="19.5" customHeight="1">
      <c r="A19" s="269">
        <v>5</v>
      </c>
      <c r="B19" s="270" t="s">
        <v>370</v>
      </c>
      <c r="C19" s="269" t="s">
        <v>371</v>
      </c>
      <c r="D19" s="679">
        <f>'TM IN'!H11</f>
        <v>1055787497.97371</v>
      </c>
      <c r="E19" s="680"/>
      <c r="F19" s="271" t="s">
        <v>359</v>
      </c>
      <c r="H19" s="250" t="s">
        <v>12</v>
      </c>
      <c r="I19" s="256" t="s">
        <v>372</v>
      </c>
      <c r="J19" s="280"/>
      <c r="K19" s="258"/>
      <c r="L19" s="258"/>
      <c r="M19" s="258"/>
      <c r="N19" s="263"/>
      <c r="O19" s="258"/>
      <c r="P19" s="258"/>
      <c r="Q19" s="258"/>
    </row>
    <row r="20" spans="1:17" s="268" customFormat="1" ht="19.5" customHeight="1">
      <c r="A20" s="269">
        <v>6</v>
      </c>
      <c r="B20" s="270" t="s">
        <v>373</v>
      </c>
      <c r="C20" s="269" t="s">
        <v>374</v>
      </c>
      <c r="D20" s="679">
        <f>'TM IN'!H38</f>
        <v>162154170.35375285</v>
      </c>
      <c r="E20" s="680"/>
      <c r="F20" s="271" t="s">
        <v>359</v>
      </c>
      <c r="H20" s="261">
        <v>1</v>
      </c>
      <c r="I20" s="262" t="s">
        <v>302</v>
      </c>
      <c r="J20" s="258"/>
      <c r="K20" s="258"/>
      <c r="L20" s="258"/>
      <c r="M20" s="258"/>
      <c r="N20" s="263"/>
      <c r="O20" s="258"/>
      <c r="P20" s="258"/>
      <c r="Q20" s="258"/>
    </row>
    <row r="21" spans="1:17" s="283" customFormat="1" ht="19.5" customHeight="1">
      <c r="A21" s="266"/>
      <c r="B21" s="281" t="s">
        <v>375</v>
      </c>
      <c r="C21" s="266"/>
      <c r="D21" s="685">
        <f>SUM(D15:E20)</f>
        <v>12771941318.327461</v>
      </c>
      <c r="E21" s="686"/>
      <c r="F21" s="282" t="s">
        <v>359</v>
      </c>
      <c r="H21" s="261"/>
      <c r="I21" s="262" t="s">
        <v>376</v>
      </c>
      <c r="J21" s="258">
        <v>97.97</v>
      </c>
      <c r="K21" s="258">
        <v>98.81</v>
      </c>
      <c r="L21" s="258">
        <v>103.58</v>
      </c>
      <c r="M21" s="258">
        <f>INDEX($O$9:$Q$39,,MATCH(M$4,$O$4:$Q$4,0))</f>
        <v>101.69</v>
      </c>
      <c r="N21" s="263"/>
      <c r="O21" s="258">
        <v>98.15</v>
      </c>
      <c r="P21" s="258">
        <v>101.69</v>
      </c>
      <c r="Q21" s="258">
        <v>104</v>
      </c>
    </row>
    <row r="22" spans="1:17" s="283" customFormat="1" ht="19.5" customHeight="1">
      <c r="A22" s="284"/>
      <c r="B22" s="285"/>
      <c r="C22" s="286"/>
      <c r="D22" s="286"/>
      <c r="E22" s="286"/>
      <c r="F22" s="287"/>
      <c r="H22" s="261"/>
      <c r="I22" s="262" t="s">
        <v>377</v>
      </c>
      <c r="J22" s="258">
        <v>168.06</v>
      </c>
      <c r="K22" s="258">
        <v>105.24</v>
      </c>
      <c r="L22" s="258">
        <v>110.56</v>
      </c>
      <c r="M22" s="258">
        <f>INDEX($O$9:$Q$39,,MATCH(M$4,$O$4:$Q$4,0))</f>
        <v>111.73</v>
      </c>
      <c r="N22" s="263"/>
      <c r="O22" s="258">
        <v>106.71</v>
      </c>
      <c r="P22" s="258">
        <v>111.73</v>
      </c>
      <c r="Q22" s="258">
        <v>113.42</v>
      </c>
    </row>
    <row r="23" spans="1:17" s="246" customFormat="1" ht="19.5" customHeight="1">
      <c r="A23" s="245" t="s">
        <v>378</v>
      </c>
      <c r="C23" s="288"/>
      <c r="D23" s="288"/>
      <c r="E23" s="288"/>
      <c r="F23" s="289"/>
      <c r="H23" s="261">
        <v>2</v>
      </c>
      <c r="I23" s="262" t="s">
        <v>379</v>
      </c>
      <c r="J23" s="258">
        <v>105.67</v>
      </c>
      <c r="K23" s="258">
        <v>106.37</v>
      </c>
      <c r="L23" s="258">
        <v>109.86</v>
      </c>
      <c r="M23" s="258">
        <f>INDEX($O$9:$Q$39,,MATCH(M$4,$O$4:$Q$4,0))</f>
        <v>110.44</v>
      </c>
      <c r="N23" s="263"/>
      <c r="O23" s="258">
        <v>106.28</v>
      </c>
      <c r="P23" s="258">
        <v>110.44</v>
      </c>
      <c r="Q23" s="258">
        <v>111.85</v>
      </c>
    </row>
    <row r="24" spans="1:17" s="268" customFormat="1" ht="34.5" customHeight="1">
      <c r="A24" s="290"/>
      <c r="B24" s="291"/>
      <c r="C24" s="291"/>
      <c r="D24" s="291"/>
      <c r="E24" s="291"/>
      <c r="F24" s="291"/>
      <c r="H24" s="261">
        <v>3</v>
      </c>
      <c r="I24" s="262" t="s">
        <v>380</v>
      </c>
      <c r="J24" s="258">
        <v>105.28</v>
      </c>
      <c r="K24" s="258">
        <v>105.19</v>
      </c>
      <c r="L24" s="258">
        <v>105.19</v>
      </c>
      <c r="M24" s="258">
        <v>108.6</v>
      </c>
      <c r="N24" s="263"/>
      <c r="O24" s="258">
        <v>104.85</v>
      </c>
      <c r="P24" s="258">
        <v>107.55</v>
      </c>
      <c r="Q24" s="258">
        <v>108.94</v>
      </c>
    </row>
    <row r="25" spans="1:17" s="268" customFormat="1" ht="31.5" customHeight="1">
      <c r="A25" s="292"/>
      <c r="B25" s="293" t="s">
        <v>381</v>
      </c>
      <c r="C25" s="684">
        <f>ROUND($F$25*D21,-3)</f>
        <v>1277194000</v>
      </c>
      <c r="D25" s="684"/>
      <c r="E25" s="293" t="s">
        <v>382</v>
      </c>
      <c r="F25" s="294">
        <v>0.1</v>
      </c>
      <c r="H25" s="250" t="s">
        <v>15</v>
      </c>
      <c r="I25" s="256" t="s">
        <v>383</v>
      </c>
      <c r="J25" s="280"/>
      <c r="K25" s="280"/>
      <c r="L25" s="258"/>
      <c r="M25" s="258"/>
      <c r="N25" s="263"/>
      <c r="O25" s="258"/>
      <c r="P25" s="258"/>
      <c r="Q25" s="258"/>
    </row>
    <row r="26" spans="1:17" s="246" customFormat="1" ht="19.5" customHeight="1">
      <c r="A26" s="295" t="s">
        <v>384</v>
      </c>
      <c r="B26" s="296"/>
      <c r="C26" s="247"/>
      <c r="D26" s="247"/>
      <c r="E26" s="247"/>
      <c r="F26" s="247"/>
      <c r="H26" s="261">
        <v>1</v>
      </c>
      <c r="I26" s="262" t="s">
        <v>303</v>
      </c>
      <c r="J26" s="258"/>
      <c r="K26" s="258"/>
      <c r="L26" s="258"/>
      <c r="M26" s="258"/>
      <c r="N26" s="263"/>
      <c r="O26" s="258"/>
      <c r="P26" s="258"/>
      <c r="Q26" s="258"/>
    </row>
    <row r="27" spans="1:17" s="268" customFormat="1" ht="42" customHeight="1">
      <c r="A27" s="297"/>
      <c r="B27" s="292"/>
      <c r="C27" s="291"/>
      <c r="D27" s="291"/>
      <c r="E27" s="291"/>
      <c r="F27" s="291"/>
      <c r="H27" s="261"/>
      <c r="I27" s="298" t="s">
        <v>385</v>
      </c>
      <c r="J27" s="258">
        <v>111.78</v>
      </c>
      <c r="K27" s="258">
        <v>115.87</v>
      </c>
      <c r="L27" s="258">
        <v>126.03</v>
      </c>
      <c r="M27" s="258">
        <f>INDEX($O$9:$Q$39,,MATCH(M$4,$O$4:$Q$4,0))</f>
        <v>120.04</v>
      </c>
      <c r="N27" s="263"/>
      <c r="O27" s="258">
        <v>126.03</v>
      </c>
      <c r="P27" s="258">
        <v>120.04</v>
      </c>
      <c r="Q27" s="258">
        <v>109.85</v>
      </c>
    </row>
    <row r="28" spans="1:17" s="268" customFormat="1" ht="19.5" customHeight="1">
      <c r="A28" s="268" t="s">
        <v>386</v>
      </c>
      <c r="B28" s="292"/>
      <c r="C28" s="291"/>
      <c r="D28" s="291"/>
      <c r="E28" s="293"/>
      <c r="F28" s="299"/>
      <c r="H28" s="261"/>
      <c r="I28" s="262" t="s">
        <v>387</v>
      </c>
      <c r="J28" s="258">
        <v>111.41</v>
      </c>
      <c r="K28" s="258">
        <v>115.35</v>
      </c>
      <c r="L28" s="258">
        <v>127.89</v>
      </c>
      <c r="M28" s="258">
        <f>INDEX($O$9:$Q$39,,MATCH(M$4,$O$4:$Q$4,0))</f>
        <v>125.34</v>
      </c>
      <c r="N28" s="263"/>
      <c r="O28" s="258">
        <v>127.89</v>
      </c>
      <c r="P28" s="258">
        <v>125.34</v>
      </c>
      <c r="Q28" s="258">
        <v>120.64</v>
      </c>
    </row>
    <row r="29" spans="1:17" s="268" customFormat="1" ht="19.5" customHeight="1">
      <c r="A29" s="268" t="s">
        <v>388</v>
      </c>
      <c r="B29" s="292"/>
      <c r="C29" s="291"/>
      <c r="D29" s="291"/>
      <c r="E29" s="291"/>
      <c r="F29" s="291"/>
      <c r="H29" s="261">
        <v>3</v>
      </c>
      <c r="I29" s="262" t="s">
        <v>304</v>
      </c>
      <c r="J29" s="258"/>
      <c r="K29" s="258"/>
      <c r="L29" s="258"/>
      <c r="M29" s="258"/>
      <c r="N29" s="263"/>
      <c r="O29" s="258"/>
      <c r="P29" s="258"/>
      <c r="Q29" s="258"/>
    </row>
    <row r="30" spans="1:17" s="268" customFormat="1" ht="19.5" customHeight="1">
      <c r="A30" s="268" t="s">
        <v>389</v>
      </c>
      <c r="D30" s="291"/>
      <c r="E30" s="291"/>
      <c r="H30" s="261"/>
      <c r="I30" s="262" t="s">
        <v>390</v>
      </c>
      <c r="J30" s="258">
        <v>109.22</v>
      </c>
      <c r="K30" s="258">
        <v>109.29</v>
      </c>
      <c r="L30" s="258">
        <v>115.83</v>
      </c>
      <c r="M30" s="258">
        <f>INDEX($O$9:$Q$39,,MATCH(M$4,$O$4:$Q$4,0))</f>
        <v>107.26</v>
      </c>
      <c r="N30" s="263"/>
      <c r="O30" s="258">
        <v>115.83</v>
      </c>
      <c r="P30" s="258">
        <v>107.26</v>
      </c>
      <c r="Q30" s="258">
        <v>106.38</v>
      </c>
    </row>
    <row r="31" spans="1:17" s="268" customFormat="1" ht="19.5" customHeight="1">
      <c r="A31" s="268" t="s">
        <v>391</v>
      </c>
      <c r="D31" s="291"/>
      <c r="E31" s="293" t="s">
        <v>392</v>
      </c>
      <c r="F31" s="300">
        <v>0</v>
      </c>
      <c r="H31" s="250" t="s">
        <v>18</v>
      </c>
      <c r="I31" s="256" t="s">
        <v>393</v>
      </c>
      <c r="J31" s="280"/>
      <c r="K31" s="258"/>
      <c r="L31" s="258"/>
      <c r="M31" s="258"/>
      <c r="N31" s="263"/>
      <c r="O31" s="258"/>
      <c r="P31" s="258"/>
      <c r="Q31" s="258"/>
    </row>
    <row r="32" spans="1:17" s="268" customFormat="1" ht="31.5" customHeight="1">
      <c r="A32" s="687" t="s">
        <v>394</v>
      </c>
      <c r="B32" s="687"/>
      <c r="C32" s="687"/>
      <c r="D32" s="687"/>
      <c r="E32" s="687"/>
      <c r="F32" s="687"/>
      <c r="H32" s="261">
        <v>1</v>
      </c>
      <c r="I32" s="262" t="s">
        <v>395</v>
      </c>
      <c r="J32" s="258">
        <v>109.5</v>
      </c>
      <c r="K32" s="258">
        <v>110.37</v>
      </c>
      <c r="L32" s="258">
        <v>119.59</v>
      </c>
      <c r="M32" s="258">
        <f>INDEX($O$9:$Q$39,,MATCH(M$4,$O$4:$Q$4,0))</f>
        <v>113.42</v>
      </c>
      <c r="N32" s="263"/>
      <c r="O32" s="258">
        <v>109.86</v>
      </c>
      <c r="P32" s="258">
        <v>113.42</v>
      </c>
      <c r="Q32" s="258">
        <v>111.93</v>
      </c>
    </row>
    <row r="33" spans="1:17" s="268" customFormat="1" ht="19.5" customHeight="1">
      <c r="A33" s="301" t="s">
        <v>396</v>
      </c>
      <c r="D33" s="291"/>
      <c r="E33" s="302" t="s">
        <v>397</v>
      </c>
      <c r="F33" s="300">
        <v>0</v>
      </c>
      <c r="H33" s="261">
        <v>2</v>
      </c>
      <c r="I33" s="262" t="s">
        <v>398</v>
      </c>
      <c r="J33" s="258">
        <v>116.27</v>
      </c>
      <c r="K33" s="258">
        <v>120.53</v>
      </c>
      <c r="L33" s="258">
        <v>137.63</v>
      </c>
      <c r="M33" s="258">
        <f>INDEX($O$9:$Q$39,,MATCH(M$4,$O$4:$Q$4,0))</f>
        <v>135.04</v>
      </c>
      <c r="N33" s="263"/>
      <c r="O33" s="258">
        <v>120.36</v>
      </c>
      <c r="P33" s="258">
        <v>135.04</v>
      </c>
      <c r="Q33" s="258">
        <v>130.66</v>
      </c>
    </row>
    <row r="34" spans="1:17" s="268" customFormat="1" ht="19.5" customHeight="1">
      <c r="A34" s="268" t="s">
        <v>399</v>
      </c>
      <c r="C34" s="303">
        <v>2019</v>
      </c>
      <c r="D34" s="304" t="s">
        <v>400</v>
      </c>
      <c r="F34" s="299">
        <v>3</v>
      </c>
      <c r="H34" s="261">
        <v>3</v>
      </c>
      <c r="I34" s="262" t="s">
        <v>401</v>
      </c>
      <c r="J34" s="258">
        <v>112.92</v>
      </c>
      <c r="K34" s="258">
        <v>115.47</v>
      </c>
      <c r="L34" s="258">
        <v>128.73</v>
      </c>
      <c r="M34" s="258">
        <f>INDEX($O$9:$Q$39,,MATCH(M$4,$O$4:$Q$4,0))</f>
        <v>124.28</v>
      </c>
      <c r="N34" s="263"/>
      <c r="O34" s="258">
        <v>115.12</v>
      </c>
      <c r="P34" s="258">
        <v>124.28</v>
      </c>
      <c r="Q34" s="258">
        <v>121.28</v>
      </c>
    </row>
    <row r="35" spans="1:17" s="268" customFormat="1" ht="18" customHeight="1">
      <c r="A35" s="305" t="s">
        <v>402</v>
      </c>
      <c r="B35" s="306"/>
      <c r="C35" s="305"/>
      <c r="D35" s="305"/>
      <c r="E35" s="305"/>
      <c r="F35" s="305"/>
      <c r="H35" s="261">
        <v>4</v>
      </c>
      <c r="I35" s="262" t="s">
        <v>403</v>
      </c>
      <c r="J35" s="258">
        <v>113.04</v>
      </c>
      <c r="K35" s="258">
        <v>115.95</v>
      </c>
      <c r="L35" s="258">
        <v>129.4</v>
      </c>
      <c r="M35" s="258">
        <f>INDEX($O$9:$Q$39,,MATCH(M$4,$O$4:$Q$4,0))</f>
        <v>125.51</v>
      </c>
      <c r="N35" s="263"/>
      <c r="O35" s="258">
        <v>115.58</v>
      </c>
      <c r="P35" s="258">
        <v>125.51</v>
      </c>
      <c r="Q35" s="258">
        <v>123.25</v>
      </c>
    </row>
    <row r="36" spans="1:17" s="283" customFormat="1" ht="18" customHeight="1">
      <c r="A36" s="688" t="s">
        <v>1</v>
      </c>
      <c r="B36" s="688" t="s">
        <v>301</v>
      </c>
      <c r="C36" s="282" t="s">
        <v>404</v>
      </c>
      <c r="D36" s="282"/>
      <c r="E36" s="282"/>
      <c r="F36" s="282"/>
      <c r="H36" s="250" t="s">
        <v>35</v>
      </c>
      <c r="I36" s="256" t="s">
        <v>405</v>
      </c>
      <c r="J36" s="280"/>
      <c r="K36" s="280"/>
      <c r="L36" s="258"/>
      <c r="M36" s="258"/>
      <c r="N36" s="263"/>
      <c r="O36" s="258"/>
      <c r="P36" s="258"/>
      <c r="Q36" s="258"/>
    </row>
    <row r="37" spans="1:17" s="283" customFormat="1" ht="18" customHeight="1">
      <c r="A37" s="689"/>
      <c r="B37" s="689"/>
      <c r="C37" s="308">
        <f>$C$34</f>
        <v>2019</v>
      </c>
      <c r="D37" s="308">
        <f>C37+1</f>
        <v>2020</v>
      </c>
      <c r="E37" s="308">
        <f>D37+1</f>
        <v>2021</v>
      </c>
      <c r="F37" s="308">
        <f>E37+1</f>
        <v>2022</v>
      </c>
      <c r="H37" s="261">
        <v>1</v>
      </c>
      <c r="I37" s="262" t="s">
        <v>406</v>
      </c>
      <c r="J37" s="258">
        <v>113.58</v>
      </c>
      <c r="K37" s="258">
        <v>119.5</v>
      </c>
      <c r="L37" s="258">
        <v>126.58</v>
      </c>
      <c r="M37" s="258">
        <f>INDEX($O$9:$Q$39,,MATCH(M$4,$O$4:$Q$4,0))</f>
        <v>126.05</v>
      </c>
      <c r="N37" s="263"/>
      <c r="O37" s="258">
        <v>119.56</v>
      </c>
      <c r="P37" s="258">
        <v>126.05</v>
      </c>
      <c r="Q37" s="258">
        <v>125.23</v>
      </c>
    </row>
    <row r="38" spans="1:17" s="268" customFormat="1" ht="18" customHeight="1">
      <c r="A38" s="269">
        <v>1</v>
      </c>
      <c r="B38" s="309" t="s">
        <v>407</v>
      </c>
      <c r="C38" s="310">
        <v>0.05</v>
      </c>
      <c r="D38" s="310">
        <v>0.1</v>
      </c>
      <c r="E38" s="310">
        <v>0.15</v>
      </c>
      <c r="F38" s="310">
        <v>0.3</v>
      </c>
      <c r="H38" s="261">
        <v>2</v>
      </c>
      <c r="I38" s="262" t="s">
        <v>408</v>
      </c>
      <c r="J38" s="258">
        <v>110.48</v>
      </c>
      <c r="K38" s="258">
        <v>112.7</v>
      </c>
      <c r="L38" s="258">
        <v>122.48</v>
      </c>
      <c r="M38" s="258">
        <f>INDEX($O$9:$Q$39,,MATCH(M$4,$O$4:$Q$4,0))</f>
        <v>119.71</v>
      </c>
      <c r="N38" s="263"/>
      <c r="O38" s="258">
        <v>112.05</v>
      </c>
      <c r="P38" s="258">
        <v>119.71</v>
      </c>
      <c r="Q38" s="258">
        <v>118.41</v>
      </c>
    </row>
    <row r="39" spans="1:17" s="268" customFormat="1" ht="18" customHeight="1">
      <c r="A39" s="269">
        <v>2</v>
      </c>
      <c r="B39" s="309" t="s">
        <v>409</v>
      </c>
      <c r="C39" s="311">
        <f>ROUND(C38*$D$21,-3)</f>
        <v>638597000</v>
      </c>
      <c r="D39" s="311">
        <f>ROUND(D38*$D$21,-3)</f>
        <v>1277194000</v>
      </c>
      <c r="E39" s="311">
        <f>ROUND(E38*$D$21,0)</f>
        <v>1915791198</v>
      </c>
      <c r="F39" s="311">
        <f>ROUND(F38*$D$21,0)</f>
        <v>3831582395</v>
      </c>
      <c r="H39" s="261">
        <v>3</v>
      </c>
      <c r="I39" s="262" t="s">
        <v>410</v>
      </c>
      <c r="J39" s="258">
        <v>107.6</v>
      </c>
      <c r="K39" s="258">
        <v>109.44</v>
      </c>
      <c r="L39" s="258">
        <v>114.74</v>
      </c>
      <c r="M39" s="258">
        <f>INDEX($O$9:$Q$39,,MATCH(M$4,$O$4:$Q$4,0))</f>
        <v>115.3</v>
      </c>
      <c r="N39" s="263"/>
      <c r="O39" s="258">
        <v>109.41</v>
      </c>
      <c r="P39" s="258">
        <v>115.3</v>
      </c>
      <c r="Q39" s="258">
        <v>116.72</v>
      </c>
    </row>
    <row r="40" spans="1:6" s="268" customFormat="1" ht="6.75" customHeight="1">
      <c r="A40" s="312"/>
      <c r="B40" s="313"/>
      <c r="C40" s="314"/>
      <c r="D40" s="314"/>
      <c r="E40" s="314"/>
      <c r="F40" s="314"/>
    </row>
    <row r="41" spans="1:6" s="268" customFormat="1" ht="18" customHeight="1">
      <c r="A41" s="305" t="s">
        <v>411</v>
      </c>
      <c r="B41" s="306"/>
      <c r="C41" s="305"/>
      <c r="D41" s="305"/>
      <c r="E41" s="305"/>
      <c r="F41" s="305"/>
    </row>
    <row r="42" spans="1:6" s="283" customFormat="1" ht="18" customHeight="1">
      <c r="A42" s="688" t="s">
        <v>1</v>
      </c>
      <c r="B42" s="688" t="s">
        <v>412</v>
      </c>
      <c r="C42" s="282" t="s">
        <v>404</v>
      </c>
      <c r="D42" s="282"/>
      <c r="E42" s="282"/>
      <c r="F42" s="282"/>
    </row>
    <row r="43" spans="1:6" s="283" customFormat="1" ht="18" customHeight="1">
      <c r="A43" s="689"/>
      <c r="B43" s="689"/>
      <c r="C43" s="266">
        <f>D43-1</f>
        <v>2013</v>
      </c>
      <c r="D43" s="266">
        <f>E43-1</f>
        <v>2014</v>
      </c>
      <c r="E43" s="266">
        <f>F43-1</f>
        <v>2015</v>
      </c>
      <c r="F43" s="315">
        <v>2016</v>
      </c>
    </row>
    <row r="44" spans="1:6" s="283" customFormat="1" ht="18" customHeight="1">
      <c r="A44" s="307"/>
      <c r="B44" s="307"/>
      <c r="C44" s="266" t="str">
        <f>HLOOKUP(C43,$J$9:$M$10,2,0)</f>
        <v>2011=100</v>
      </c>
      <c r="D44" s="266" t="str">
        <f>HLOOKUP(D43,$J$9:$M$10,2,0)</f>
        <v>2011=100</v>
      </c>
      <c r="E44" s="266" t="str">
        <f>HLOOKUP(E43,$J$9:$M$10,2,0)</f>
        <v>2011=100</v>
      </c>
      <c r="F44" s="266" t="str">
        <f>HLOOKUP(F43,$J$9:$N$10,2,0)</f>
        <v>2011=100</v>
      </c>
    </row>
    <row r="45" spans="1:6" s="268" customFormat="1" ht="28.5">
      <c r="A45" s="269">
        <v>1</v>
      </c>
      <c r="B45" s="309" t="s">
        <v>413</v>
      </c>
      <c r="C45" s="316">
        <f>K14</f>
        <v>109</v>
      </c>
      <c r="D45" s="316">
        <f>L14</f>
        <v>113.34</v>
      </c>
      <c r="E45" s="316">
        <f>M14</f>
        <v>110.93</v>
      </c>
      <c r="F45" s="316">
        <f>N14</f>
        <v>112.82</v>
      </c>
    </row>
    <row r="46" spans="1:6" s="268" customFormat="1" ht="28.5">
      <c r="A46" s="269">
        <v>2</v>
      </c>
      <c r="B46" s="309" t="s">
        <v>414</v>
      </c>
      <c r="C46" s="317">
        <f>C45</f>
        <v>109</v>
      </c>
      <c r="D46" s="317">
        <f>ROUND($C$45*D45/100,2)</f>
        <v>123.54</v>
      </c>
      <c r="E46" s="317">
        <f>ROUND($C$45*E45/100,2)</f>
        <v>120.91</v>
      </c>
      <c r="F46" s="317">
        <f>ROUND($C$45*F45/100,2)</f>
        <v>122.97</v>
      </c>
    </row>
    <row r="47" spans="1:6" s="268" customFormat="1" ht="42.75">
      <c r="A47" s="269">
        <v>3</v>
      </c>
      <c r="B47" s="309" t="s">
        <v>415</v>
      </c>
      <c r="C47" s="318"/>
      <c r="D47" s="318">
        <f>ROUND(D46/C46,3)</f>
        <v>1.133</v>
      </c>
      <c r="E47" s="318">
        <f>ROUND(E46/D46,3)</f>
        <v>0.979</v>
      </c>
      <c r="F47" s="318">
        <f>ROUND(F46/E46,3)</f>
        <v>1.017</v>
      </c>
    </row>
    <row r="48" spans="1:6" s="268" customFormat="1" ht="18" customHeight="1">
      <c r="A48" s="269">
        <v>4</v>
      </c>
      <c r="B48" s="309" t="s">
        <v>416</v>
      </c>
      <c r="C48" s="318"/>
      <c r="D48" s="318">
        <f>D47-1</f>
        <v>0.133</v>
      </c>
      <c r="E48" s="318">
        <f>E47-1</f>
        <v>-0.02100000000000002</v>
      </c>
      <c r="F48" s="318">
        <f>F47-1</f>
        <v>0.016999999999999904</v>
      </c>
    </row>
    <row r="49" spans="1:6" s="268" customFormat="1" ht="33">
      <c r="A49" s="269">
        <v>5</v>
      </c>
      <c r="B49" s="309" t="s">
        <v>417</v>
      </c>
      <c r="C49" s="318"/>
      <c r="D49" s="318"/>
      <c r="E49" s="318"/>
      <c r="F49" s="319">
        <v>1.05442</v>
      </c>
    </row>
    <row r="50" s="268" customFormat="1" ht="18" customHeight="1"/>
    <row r="51" spans="1:6" s="268" customFormat="1" ht="18" customHeight="1">
      <c r="A51" s="305" t="s">
        <v>418</v>
      </c>
      <c r="B51" s="305"/>
      <c r="C51" s="305"/>
      <c r="D51" s="305"/>
      <c r="E51" s="305"/>
      <c r="F51" s="305"/>
    </row>
    <row r="52" spans="1:6" s="283" customFormat="1" ht="18" customHeight="1">
      <c r="A52" s="688" t="s">
        <v>1</v>
      </c>
      <c r="B52" s="688" t="s">
        <v>301</v>
      </c>
      <c r="C52" s="674" t="s">
        <v>404</v>
      </c>
      <c r="D52" s="693"/>
      <c r="E52" s="675"/>
      <c r="F52" s="320"/>
    </row>
    <row r="53" spans="1:6" s="283" customFormat="1" ht="18" customHeight="1">
      <c r="A53" s="689"/>
      <c r="B53" s="689"/>
      <c r="C53" s="308">
        <f>$C$34</f>
        <v>2019</v>
      </c>
      <c r="D53" s="308">
        <f>C53+1</f>
        <v>2020</v>
      </c>
      <c r="E53" s="308">
        <f>D53+1</f>
        <v>2021</v>
      </c>
      <c r="F53" s="321"/>
    </row>
    <row r="54" spans="1:6" s="283" customFormat="1" ht="18" customHeight="1">
      <c r="A54" s="307"/>
      <c r="B54" s="307"/>
      <c r="C54" s="322">
        <f>+F49</f>
        <v>1.05442</v>
      </c>
      <c r="D54" s="323">
        <f>C54</f>
        <v>1.05442</v>
      </c>
      <c r="E54" s="323">
        <f>D54</f>
        <v>1.05442</v>
      </c>
      <c r="F54" s="324"/>
    </row>
    <row r="55" spans="1:6" s="268" customFormat="1" ht="28.5">
      <c r="A55" s="269">
        <v>1</v>
      </c>
      <c r="B55" s="309" t="s">
        <v>419</v>
      </c>
      <c r="C55" s="311">
        <f>C39</f>
        <v>638597000</v>
      </c>
      <c r="D55" s="311">
        <f>D39</f>
        <v>1277194000</v>
      </c>
      <c r="E55" s="311">
        <f>E39</f>
        <v>1915791198</v>
      </c>
      <c r="F55" s="325"/>
    </row>
    <row r="56" spans="1:9" s="268" customFormat="1" ht="28.5">
      <c r="A56" s="269">
        <v>2</v>
      </c>
      <c r="B56" s="309" t="s">
        <v>420</v>
      </c>
      <c r="C56" s="311">
        <f>ROUND(C55*($F$49+$F$33)^C54,-3)</f>
        <v>675294000</v>
      </c>
      <c r="D56" s="311">
        <f>ROUND(D55*($F$49+$F$33)*D54,-3)</f>
        <v>1419986000</v>
      </c>
      <c r="E56" s="311">
        <f>ROUND(E55*($F$49+$F$33)*E54,-3)</f>
        <v>2129980000</v>
      </c>
      <c r="F56" s="325"/>
      <c r="I56" s="326"/>
    </row>
    <row r="57" spans="1:9" s="268" customFormat="1" ht="18" customHeight="1">
      <c r="A57" s="269">
        <v>3</v>
      </c>
      <c r="B57" s="309" t="s">
        <v>421</v>
      </c>
      <c r="C57" s="311">
        <f>C56-C55</f>
        <v>36697000</v>
      </c>
      <c r="D57" s="311">
        <f>D56-D55</f>
        <v>142792000</v>
      </c>
      <c r="E57" s="311">
        <f>E56-E55</f>
        <v>214188802</v>
      </c>
      <c r="F57" s="325"/>
      <c r="G57" s="327"/>
      <c r="I57" s="326"/>
    </row>
    <row r="58" spans="1:9" s="268" customFormat="1" ht="18" customHeight="1">
      <c r="A58" s="269">
        <v>4</v>
      </c>
      <c r="B58" s="309" t="s">
        <v>422</v>
      </c>
      <c r="C58" s="311">
        <f>C57</f>
        <v>36697000</v>
      </c>
      <c r="D58" s="311">
        <f>ROUND(C58+D57,-3)</f>
        <v>179489000</v>
      </c>
      <c r="E58" s="311">
        <f>ROUND(D58+E57,-3)</f>
        <v>393678000</v>
      </c>
      <c r="F58" s="328"/>
      <c r="I58" s="329"/>
    </row>
    <row r="59" s="268" customFormat="1" ht="7.5" customHeight="1"/>
    <row r="60" spans="1:6" s="246" customFormat="1" ht="18" customHeight="1">
      <c r="A60" s="295" t="s">
        <v>423</v>
      </c>
      <c r="B60" s="296"/>
      <c r="C60" s="247"/>
      <c r="D60" s="247"/>
      <c r="E60" s="247"/>
      <c r="F60" s="247"/>
    </row>
    <row r="61" spans="1:6" s="268" customFormat="1" ht="18" customHeight="1">
      <c r="A61" s="330" t="s">
        <v>424</v>
      </c>
      <c r="E61" s="683">
        <f>C25</f>
        <v>1277194000</v>
      </c>
      <c r="F61" s="683"/>
    </row>
    <row r="62" spans="1:9" s="268" customFormat="1" ht="18" customHeight="1">
      <c r="A62" s="330" t="s">
        <v>425</v>
      </c>
      <c r="E62" s="683">
        <f>E58</f>
        <v>393678000</v>
      </c>
      <c r="F62" s="683"/>
      <c r="I62" s="331"/>
    </row>
    <row r="63" spans="1:6" s="332" customFormat="1" ht="18" customHeight="1">
      <c r="A63" s="332" t="s">
        <v>426</v>
      </c>
      <c r="E63" s="690">
        <f>E61+E62</f>
        <v>1670872000</v>
      </c>
      <c r="F63" s="690"/>
    </row>
    <row r="64" spans="1:6" s="268" customFormat="1" ht="18" customHeight="1">
      <c r="A64" s="330" t="s">
        <v>427</v>
      </c>
      <c r="F64" s="405">
        <f>F25</f>
        <v>0.1</v>
      </c>
    </row>
    <row r="65" spans="1:6" s="268" customFormat="1" ht="18" customHeight="1">
      <c r="A65" s="330" t="s">
        <v>428</v>
      </c>
      <c r="C65" s="691" t="str">
        <f>TEXT(E62,"0.00")&amp;" / "&amp;TEXT(D21,"0.00")&amp;" = "</f>
        <v>393.678.000 / 12.771.941.318 = </v>
      </c>
      <c r="D65" s="691"/>
      <c r="E65" s="691"/>
      <c r="F65" s="405">
        <f>ROUND(E62/D21,4)</f>
        <v>0.0308</v>
      </c>
    </row>
    <row r="66" spans="1:6" s="332" customFormat="1" ht="18" customHeight="1">
      <c r="A66" s="332" t="s">
        <v>429</v>
      </c>
      <c r="F66" s="333">
        <f>F64+F65</f>
        <v>0.1308</v>
      </c>
    </row>
    <row r="67" s="332" customFormat="1" ht="18" customHeight="1">
      <c r="F67" s="333"/>
    </row>
    <row r="68" spans="5:6" s="268" customFormat="1" ht="18" customHeight="1">
      <c r="E68" s="692"/>
      <c r="F68" s="692"/>
    </row>
    <row r="69" s="268" customFormat="1" ht="18" customHeight="1"/>
    <row r="70" s="268" customFormat="1" ht="18" customHeight="1"/>
    <row r="71" s="268" customFormat="1" ht="18" customHeight="1"/>
    <row r="72" spans="5:6" s="283" customFormat="1" ht="18" customHeight="1">
      <c r="E72" s="692"/>
      <c r="F72" s="692"/>
    </row>
    <row r="78" s="334" customFormat="1" ht="18.75"/>
    <row r="80" ht="28.5" customHeight="1"/>
    <row r="84" s="334" customFormat="1" ht="18.75"/>
    <row r="89" s="334" customFormat="1" ht="18.75"/>
  </sheetData>
  <sheetProtection/>
  <mergeCells count="42">
    <mergeCell ref="E63:F63"/>
    <mergeCell ref="A42:A43"/>
    <mergeCell ref="B42:B43"/>
    <mergeCell ref="C65:E65"/>
    <mergeCell ref="E68:F68"/>
    <mergeCell ref="E72:F72"/>
    <mergeCell ref="A52:A53"/>
    <mergeCell ref="B52:B53"/>
    <mergeCell ref="C52:E52"/>
    <mergeCell ref="E61:F61"/>
    <mergeCell ref="E62:F62"/>
    <mergeCell ref="D19:E19"/>
    <mergeCell ref="C25:D25"/>
    <mergeCell ref="D20:E20"/>
    <mergeCell ref="D21:E21"/>
    <mergeCell ref="A32:F32"/>
    <mergeCell ref="A36:A37"/>
    <mergeCell ref="B36:B37"/>
    <mergeCell ref="D14:E14"/>
    <mergeCell ref="I5:I8"/>
    <mergeCell ref="D15:E15"/>
    <mergeCell ref="D16:E16"/>
    <mergeCell ref="D17:E17"/>
    <mergeCell ref="D18:E18"/>
    <mergeCell ref="A9:F9"/>
    <mergeCell ref="A10:F10"/>
    <mergeCell ref="P5:P8"/>
    <mergeCell ref="A11:F11"/>
    <mergeCell ref="J5:J8"/>
    <mergeCell ref="K5:K8"/>
    <mergeCell ref="L5:L8"/>
    <mergeCell ref="M5:M8"/>
    <mergeCell ref="A1:F1"/>
    <mergeCell ref="A2:F2"/>
    <mergeCell ref="A4:F4"/>
    <mergeCell ref="A5:F5"/>
    <mergeCell ref="H5:H8"/>
    <mergeCell ref="Q5:Q8"/>
    <mergeCell ref="A7:F7"/>
    <mergeCell ref="A8:F8"/>
    <mergeCell ref="N5:N8"/>
    <mergeCell ref="O5:O8"/>
  </mergeCells>
  <dataValidations count="3">
    <dataValidation allowBlank="1" showErrorMessage="1" promptTitle="http://giaxaydung.vn" prompt="Nhập mức dự báo biến động vào đây. Nếu mức dự báo tăng nhập số dương, nếu giảm thì nhập số âm, nếu không dự báo được thì có thể để bằng 0." sqref="F31"/>
    <dataValidation allowBlank="1" showInputMessage="1" showErrorMessage="1" promptTitle="http://giaxaydung.vn" prompt="Mức dự báo biến động của các yếu tố chi phí, giá cả trong khu vực và quốc tế so với mức độ trượt giá bình quân năm đã tính. Tham số này phụ thuộc vào trình độ, số liệu, khả năng dự báo của chuyên gia tư vấn. Nếu không dự báo được thì có thể để bằng 0." sqref="A34"/>
    <dataValidation allowBlank="1" showErrorMessage="1" sqref="A32:F33 A54:B58 A38:B42 C36:C58 D46:E51 D36:F45 A44:B52 A36:B36 F46:F58 D53:E58"/>
  </dataValidations>
  <printOptions/>
  <pageMargins left="0.7086614173228347" right="0.7086614173228347" top="0.7480314960629921" bottom="0.7480314960629921" header="0.31496062992125984" footer="0.31496062992125984"/>
  <pageSetup horizontalDpi="600" verticalDpi="600" orientation="portrait" paperSize="9" scale="80" r:id="rId6"/>
  <legacyDrawing r:id="rId5"/>
  <oleObjects>
    <oleObject progId="Equation.3" shapeId="1421861" r:id="rId2"/>
    <oleObject progId="Equation.3" shapeId="1421862" r:id="rId3"/>
    <oleObject progId="Equation.3" shapeId="1421863"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TanNhuong</dc:creator>
  <cp:keywords/>
  <dc:description/>
  <cp:lastModifiedBy>admin</cp:lastModifiedBy>
  <cp:lastPrinted>2021-01-14T01:34:18Z</cp:lastPrinted>
  <dcterms:created xsi:type="dcterms:W3CDTF">1996-10-14T23:33:28Z</dcterms:created>
  <dcterms:modified xsi:type="dcterms:W3CDTF">2021-01-14T01:34:19Z</dcterms:modified>
  <cp:category/>
  <cp:version/>
  <cp:contentType/>
  <cp:contentStatus/>
</cp:coreProperties>
</file>